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55" activeTab="1"/>
  </bookViews>
  <sheets>
    <sheet name="Appendix 1" sheetId="1" r:id="rId1"/>
    <sheet name="Appendix 2" sheetId="2" r:id="rId2"/>
    <sheet name="Appendix 3" sheetId="3" r:id="rId3"/>
    <sheet name="Appendix 4" sheetId="4" r:id="rId4"/>
    <sheet name="Appendix 5" sheetId="5" r:id="rId5"/>
  </sheets>
  <definedNames>
    <definedName name="_Toc47508091" localSheetId="0">'Appendix 1'!$A$3</definedName>
    <definedName name="_Toc78688789" localSheetId="0">'Appendix 1'!$A$3</definedName>
    <definedName name="_xlnm.Print_Area" localSheetId="1">'Appendix 2'!$A$1:$AC$51</definedName>
    <definedName name="_xlnm.Print_Area" localSheetId="2">'Appendix 3'!$A$1:$F$28</definedName>
    <definedName name="_xlnm.Print_Area" localSheetId="3">'Appendix 4'!$A$1:$G$73,'Appendix 4'!$I$1:$Y$73</definedName>
    <definedName name="_xlnm.Print_Area" localSheetId="4">'Appendix 5'!$A$1:$AU$37</definedName>
    <definedName name="_xlnm.Print_Titles" localSheetId="4">'Appendix 5'!$A:$C</definedName>
  </definedNames>
  <calcPr fullCalcOnLoad="1"/>
</workbook>
</file>

<file path=xl/sharedStrings.xml><?xml version="1.0" encoding="utf-8"?>
<sst xmlns="http://schemas.openxmlformats.org/spreadsheetml/2006/main" count="846" uniqueCount="305">
  <si>
    <t>Plant Mods  </t>
  </si>
  <si>
    <t>Relicensed  </t>
  </si>
  <si>
    <t>Approved</t>
  </si>
  <si>
    <t>S Inlet</t>
  </si>
  <si>
    <t>max daily</t>
  </si>
  <si>
    <t>Baseline</t>
  </si>
  <si>
    <t>Status</t>
  </si>
  <si>
    <t>Teepee -Talisman</t>
  </si>
  <si>
    <t>Process</t>
  </si>
  <si>
    <t>Code</t>
  </si>
  <si>
    <t>Bistcho Lk - Paramount</t>
  </si>
  <si>
    <t>Dunvegan - Devon</t>
  </si>
  <si>
    <t>Galahad - Husky</t>
  </si>
  <si>
    <t>Marlowe (Dizzy) - Bearspaw</t>
  </si>
  <si>
    <t>Normandville - Devon</t>
  </si>
  <si>
    <t>O'Chiese - Burlington</t>
  </si>
  <si>
    <t>Pembina - Imperial</t>
  </si>
  <si>
    <t>Pouce Coupe - Duke</t>
  </si>
  <si>
    <t>Puskwaskau - Devon</t>
  </si>
  <si>
    <t>Rainbow - ExxonMobil</t>
  </si>
  <si>
    <t>Rainbow - Husky</t>
  </si>
  <si>
    <t>Bonnie Glen - Imperial</t>
  </si>
  <si>
    <t>Brazeau R. - Petro-Canada</t>
  </si>
  <si>
    <t>Caroline - Shell</t>
  </si>
  <si>
    <t>Crossfield E. - Primewest</t>
  </si>
  <si>
    <t>Hays - Anadarko</t>
  </si>
  <si>
    <t>Nevis - Duke Energy</t>
  </si>
  <si>
    <t>Progress - Anadarko</t>
  </si>
  <si>
    <t>Quirk Ck. - Imperial</t>
  </si>
  <si>
    <t>Credits</t>
  </si>
  <si>
    <t>Jan-Mar 2002</t>
  </si>
  <si>
    <t>Apr-Jun 2002</t>
  </si>
  <si>
    <t>Jul-Sep 2002</t>
  </si>
  <si>
    <t>Oct-Dec 2002</t>
  </si>
  <si>
    <t>Jan-Mar 2003</t>
  </si>
  <si>
    <t>Current</t>
  </si>
  <si>
    <t xml:space="preserve">Plant </t>
  </si>
  <si>
    <t xml:space="preserve">Total </t>
  </si>
  <si>
    <t>Total Annual</t>
  </si>
  <si>
    <t>Sulphur</t>
  </si>
  <si>
    <t>Required Sulphur</t>
  </si>
  <si>
    <t>Total</t>
  </si>
  <si>
    <t>Annual Sulphur</t>
  </si>
  <si>
    <t>Total Actual</t>
  </si>
  <si>
    <t>Inlet</t>
  </si>
  <si>
    <t>Emissions</t>
  </si>
  <si>
    <t>Recovery Effic.</t>
  </si>
  <si>
    <t>Production</t>
  </si>
  <si>
    <t>Recovery</t>
  </si>
  <si>
    <t>(%)</t>
  </si>
  <si>
    <t>Jumping Pound - Shell</t>
  </si>
  <si>
    <t>Waterton - Shell</t>
  </si>
  <si>
    <t>Simonette - Suncor</t>
  </si>
  <si>
    <t>Edson - Talisman</t>
  </si>
  <si>
    <t>Minnehik B. L. - Penn West</t>
  </si>
  <si>
    <t>Zama - Apache</t>
  </si>
  <si>
    <t>Teepee - Talisman</t>
  </si>
  <si>
    <t>Redwater - Imperial</t>
  </si>
  <si>
    <t>Fluctuating</t>
  </si>
  <si>
    <t>Wildcat Hills - Petro-Canada</t>
  </si>
  <si>
    <t>Burnt Timber - Shell</t>
  </si>
  <si>
    <t>Lone Pine Ck. - ExxonMobil</t>
  </si>
  <si>
    <t>Totals</t>
  </si>
  <si>
    <t>72.2*</t>
  </si>
  <si>
    <t>Current Approved</t>
  </si>
  <si>
    <t>Sulphur Recovery</t>
  </si>
  <si>
    <t>Efficiency</t>
  </si>
  <si>
    <t>Guideline</t>
  </si>
  <si>
    <t>Recovery for</t>
  </si>
  <si>
    <t>Sulphur Inlet</t>
  </si>
  <si>
    <t>Degrandfathered</t>
  </si>
  <si>
    <t>1999 S Inlet</t>
  </si>
  <si>
    <t>Plant</t>
  </si>
  <si>
    <t>S Emissions</t>
  </si>
  <si>
    <t>Equivalent</t>
  </si>
  <si>
    <t>Required</t>
  </si>
  <si>
    <t>Carstairs - Bonavista</t>
  </si>
  <si>
    <t>Garrington (Olds) - Esprit</t>
  </si>
  <si>
    <t>Golden Spike - Atco Midstream</t>
  </si>
  <si>
    <t>Gordondale - Duke</t>
  </si>
  <si>
    <t>Wembley - ConocoPhillips</t>
  </si>
  <si>
    <t xml:space="preserve">Zama - Apache </t>
  </si>
  <si>
    <t>Progress - Suncor</t>
  </si>
  <si>
    <t xml:space="preserve">Capacity </t>
  </si>
  <si>
    <t>Change in</t>
  </si>
  <si>
    <t>Wimborne - Devon</t>
  </si>
  <si>
    <t>Brazeau R. (West Pembina) - Atco Midstream</t>
  </si>
  <si>
    <t>Actual</t>
  </si>
  <si>
    <t>Plant Code</t>
  </si>
  <si>
    <t>Plant Name</t>
  </si>
  <si>
    <t>Rainbow - Husky               </t>
  </si>
  <si>
    <t>Modification</t>
  </si>
  <si>
    <t>Provost (Hansman Lk) - Husky</t>
  </si>
  <si>
    <t>12.2*</t>
  </si>
  <si>
    <t>306.4*</t>
  </si>
  <si>
    <t>Injected</t>
  </si>
  <si>
    <t>Daily</t>
  </si>
  <si>
    <t>(t/d)</t>
  </si>
  <si>
    <t>Sinclair (Hythe Brainard) - EnCana</t>
  </si>
  <si>
    <t>Saddle Hills - EnCana</t>
  </si>
  <si>
    <t>Oct-Dec 2001</t>
  </si>
  <si>
    <t>Wayne-Rosedale - EnCana</t>
  </si>
  <si>
    <t>(t/y)</t>
  </si>
  <si>
    <t>(t S/y)</t>
  </si>
  <si>
    <t>4,660.5*</t>
  </si>
  <si>
    <t>Caroline (North) 1-11 - BP Canada</t>
  </si>
  <si>
    <t>Caroline (South) 4-20 - BP Canada</t>
  </si>
  <si>
    <t>Crossfield (Balzac) - Nexen</t>
  </si>
  <si>
    <t>Gold Creek - CNRL</t>
  </si>
  <si>
    <t>Rosevear (North) - Suncor</t>
  </si>
  <si>
    <t>Rosevear (South) - Suncor</t>
  </si>
  <si>
    <t>Strachan (Ram River) - Husky</t>
  </si>
  <si>
    <t>Ansell (Galloway) - CNRL</t>
  </si>
  <si>
    <t xml:space="preserve">Bantry - AltaGas   </t>
  </si>
  <si>
    <t>Big Bend - CNRL</t>
  </si>
  <si>
    <t>Bittern Lake - CNRL</t>
  </si>
  <si>
    <t>Boundary Lake S - Talisman</t>
  </si>
  <si>
    <t>Carson Creek - ExxonMobil</t>
  </si>
  <si>
    <t>Forestburg - Signalta</t>
  </si>
  <si>
    <t>Greencourt - CNRL</t>
  </si>
  <si>
    <t>Judy Creek - Pengrowth</t>
  </si>
  <si>
    <t>Killam (Sedgewick) - AltaGas</t>
  </si>
  <si>
    <t>Leduc - Woodbend - Imperial</t>
  </si>
  <si>
    <t>Spirit River - Bonavista</t>
  </si>
  <si>
    <t xml:space="preserve">Sylvan Lake - NAL Resources  </t>
  </si>
  <si>
    <t>Wilson Creek - Imperial</t>
  </si>
  <si>
    <t xml:space="preserve">Wilson Creek - Petro-Canada  </t>
  </si>
  <si>
    <t>Boundary Lk S (Clear Hills) - CNRL</t>
  </si>
  <si>
    <t>Eaglesham - (West Culp) Devon</t>
  </si>
  <si>
    <t>Kelsey (Rosalind) - Thunder</t>
  </si>
  <si>
    <t>Basing (Hanlan Robb) - Petro-Canada</t>
  </si>
  <si>
    <t>Campbell-Namao (Carbondale) - Atco Midstream</t>
  </si>
  <si>
    <t>Bantry - AltaGas                </t>
  </si>
  <si>
    <t>Wilson Creek - Petro-Canada     </t>
  </si>
  <si>
    <t>Jumping Pound  - Shell</t>
  </si>
  <si>
    <t>Savanna Ck. (Coleman) - Northstar</t>
  </si>
  <si>
    <t>Provost (Thompson Lk) - Husky</t>
  </si>
  <si>
    <t xml:space="preserve">Vulcan (Long Coulee) - ConocoPhillips    </t>
  </si>
  <si>
    <t>Okotoks (Mazeppa) - Mazeppa Processing</t>
  </si>
  <si>
    <t>Enchant - Taylor Management</t>
  </si>
  <si>
    <t>Harmattan-Elkton - Bonavista</t>
  </si>
  <si>
    <t>Okotoks - Mazeppa Processing</t>
  </si>
  <si>
    <t xml:space="preserve">Degrandfathered </t>
  </si>
  <si>
    <t xml:space="preserve">Saddle Hills (LaGlace) - EnCana        </t>
  </si>
  <si>
    <t>Wilson Creek - Petro-Canada</t>
  </si>
  <si>
    <t>Cummulative Credits</t>
  </si>
  <si>
    <t>Apr-Jun 2003</t>
  </si>
  <si>
    <t>Jul-Sep 2003</t>
  </si>
  <si>
    <t>Oct-Dec 2003</t>
  </si>
  <si>
    <t>Variance until Dec 31, 2002</t>
  </si>
  <si>
    <t>______</t>
  </si>
  <si>
    <t>DeGrandfathered - Dec 2/02</t>
  </si>
  <si>
    <t>Interim Approval Meets ID 2001-3 for new plants</t>
  </si>
  <si>
    <t>Plant had relicensed to Degrandfather</t>
  </si>
  <si>
    <t xml:space="preserve">Plant has consolidated with Suncor Rosevear Baseline Combined to 25.4+50.6 = 76.0 </t>
  </si>
  <si>
    <t>Shut-down</t>
  </si>
  <si>
    <t>Degrandfathered in 2002</t>
  </si>
  <si>
    <t>-</t>
  </si>
  <si>
    <t>Plant shut down in 2003</t>
  </si>
  <si>
    <t>Plant shut down in 2001</t>
  </si>
  <si>
    <t>Plant shut down in 2000</t>
  </si>
  <si>
    <t>1878&amp;1978</t>
  </si>
  <si>
    <t>* Annual average sulphur inlet.</t>
  </si>
  <si>
    <t>Plant consolidation 1206</t>
  </si>
  <si>
    <t>Baseline revision 2001</t>
  </si>
  <si>
    <t xml:space="preserve">Degrandfathered in 2002; became AGI </t>
  </si>
  <si>
    <t>Plant shut down</t>
  </si>
  <si>
    <t>Variable inlet rate</t>
  </si>
  <si>
    <t xml:space="preserve">Degrandfathered in 2002; became SR </t>
  </si>
  <si>
    <t>1.15*</t>
  </si>
  <si>
    <t>S Production (t/y)</t>
  </si>
  <si>
    <t>S Emission (t S/y)</t>
  </si>
  <si>
    <t>Nongrandfathered Plants (Plants Meeting the Requirements for New Plants)</t>
  </si>
  <si>
    <t xml:space="preserve">Degrandfathered in 2001; became SR </t>
  </si>
  <si>
    <t xml:space="preserve">Degrandfathered in 2003; upgraded SR  </t>
  </si>
  <si>
    <t>Brazeau R. (Nordegg) - Keyera</t>
  </si>
  <si>
    <t>Strachan - Keyera</t>
  </si>
  <si>
    <t>Homeglen Rimbey - Keyera</t>
  </si>
  <si>
    <t>Paddle River - Keyera</t>
  </si>
  <si>
    <t>Watelet (Glen Park) - Atco Midstream</t>
  </si>
  <si>
    <t>Valhalla - Primewest</t>
  </si>
  <si>
    <t>Virginia Hills - Apache</t>
  </si>
  <si>
    <t>Okotoks (Mazeppa) - Mazeppa Processing        </t>
  </si>
  <si>
    <t>Crossfield E. - Primewest     </t>
  </si>
  <si>
    <t>Sylvan Lake - NAL Resources     </t>
  </si>
  <si>
    <t>Plants that have made modifications</t>
  </si>
  <si>
    <t>Brazeau R. - Keyera           </t>
  </si>
  <si>
    <t>Brazeau R. - Keyera</t>
  </si>
  <si>
    <t>Jan-Mar 2004</t>
  </si>
  <si>
    <t>Apr-Jun 2004</t>
  </si>
  <si>
    <t>Jul-Sep 2004</t>
  </si>
  <si>
    <t>Oct-Dec 2004</t>
  </si>
  <si>
    <t>Cumulative Credits</t>
  </si>
  <si>
    <t>Kaybob S. 3 - Central Midstream</t>
  </si>
  <si>
    <t>Bellshill Lake - Viking Holdings</t>
  </si>
  <si>
    <t>Bigoray - Penn West</t>
  </si>
  <si>
    <t>Kaybob - Trilogy</t>
  </si>
  <si>
    <t>Whitecourt - Shiningbank</t>
  </si>
  <si>
    <t>Rainbow - AltaGas</t>
  </si>
  <si>
    <t>Bellshill - Viking Holdings</t>
  </si>
  <si>
    <t>Rainbow  - AltaGas</t>
  </si>
  <si>
    <t>Bantry - AltaGas</t>
  </si>
  <si>
    <t>* Annual average inlet</t>
  </si>
  <si>
    <t>Grandfathered Plants (in 2001)</t>
  </si>
  <si>
    <t>Retlaw (Turin) - Taylor Management</t>
  </si>
  <si>
    <t xml:space="preserve">Virginia Hills (Hope Creek) - Apache   </t>
  </si>
  <si>
    <t xml:space="preserve">Vulcan - (Long Coulee) ConocoPhillips   </t>
  </si>
  <si>
    <t>Field-Licensee</t>
  </si>
  <si>
    <t>Degrandfathered in 2005</t>
  </si>
  <si>
    <t xml:space="preserve">Degrandfathered in 2003; became AGI </t>
  </si>
  <si>
    <t>Boundary Lake S - Penn West</t>
  </si>
  <si>
    <t>Degrandfathered in 2005; became AGI</t>
  </si>
  <si>
    <t>Degrandfathered in 2004; became AGI</t>
  </si>
  <si>
    <t xml:space="preserve">Mulligan (Fourth Creek) - Duke </t>
  </si>
  <si>
    <t xml:space="preserve">                  (AGI)</t>
  </si>
  <si>
    <t>Nongrandfathered acid gas injection plants</t>
  </si>
  <si>
    <t>Grandfathered sulphur recovery gas plants</t>
  </si>
  <si>
    <t>Grandfathered plants (in 2001)</t>
  </si>
  <si>
    <t>Grandfathered plants that were previously acid gas flaring and are now sulphur recovery</t>
  </si>
  <si>
    <t>Nongrandfathered plants (plants meeting the requirements for new plants)</t>
  </si>
  <si>
    <t>Grand totals</t>
  </si>
  <si>
    <t>Plants that were previously acid gas flaring that had emissions of less than 1 t/d and are now sulphur recovery</t>
  </si>
  <si>
    <t>Nongrandfathered plants (plants meeting the requirements for new plants in 2001)</t>
  </si>
  <si>
    <t xml:space="preserve">                  (SuperClaus)</t>
  </si>
  <si>
    <t xml:space="preserve">                  (Xergy)</t>
  </si>
  <si>
    <t xml:space="preserve">                  (Claus)</t>
  </si>
  <si>
    <t>New suphur recovery plant (new S recovery gas plants or plants previously licensed for less than 1 t S inlet /d)</t>
  </si>
  <si>
    <t xml:space="preserve">Brazeau R. - Keyera  </t>
  </si>
  <si>
    <t xml:space="preserve">Delivers acid gas to its Apache Zama AGI plant as of October 2004 
</t>
  </si>
  <si>
    <t>2005-2000</t>
  </si>
  <si>
    <t>Kaybob S. 1 &amp; 2 - CAM Midstream Services</t>
  </si>
  <si>
    <t>Sturgeon Lk. - Kereco</t>
  </si>
  <si>
    <t>Little Bow (Travers) - Bonavista</t>
  </si>
  <si>
    <t>Harmattan - Taylor Processing</t>
  </si>
  <si>
    <t>(SuperClaus)</t>
  </si>
  <si>
    <t>Jan-Mar 2005</t>
  </si>
  <si>
    <t>Apr-Jun 2005</t>
  </si>
  <si>
    <t>Jul-Sep 2005</t>
  </si>
  <si>
    <t>Oct-Dec 2005</t>
  </si>
  <si>
    <t>Injected (49039.1)</t>
  </si>
  <si>
    <t xml:space="preserve">Injected (49824.88) </t>
  </si>
  <si>
    <t>Change in production and emissions year 2005 minus year 2000</t>
  </si>
  <si>
    <t>Delivered (9189.43)*</t>
  </si>
  <si>
    <t>Swalwell - Pioneer*</t>
  </si>
  <si>
    <t xml:space="preserve">Kaybob S. 3 - Central Midstream </t>
  </si>
  <si>
    <t>Swalwell - Pioneer</t>
  </si>
  <si>
    <t>Windfall (West Whitecourt) - SEM CAMS</t>
  </si>
  <si>
    <t>Windfall (West Whitecourt) -SEM CAMS</t>
  </si>
  <si>
    <t>Degrandfathered in 2004</t>
  </si>
  <si>
    <t>Wilson Creek - Imperial  </t>
  </si>
  <si>
    <t>Degrandfathered in 2005;plant is now a dehydration and compressor unit.</t>
  </si>
  <si>
    <t>Appendix 2.1. Grandfathered Sulphur Recovery (SR) Gas Plants</t>
  </si>
  <si>
    <t>Appendix 2.2. Grandfathered Acid Gas Flaring Plants</t>
  </si>
  <si>
    <t>Appendix 2.3. Nongrandfathered Sulphur Recovery Plants</t>
  </si>
  <si>
    <t>Appendix 2.4. Nongrandfathered Acid Gas Injection Plants</t>
  </si>
  <si>
    <t>Holmberg (Strome) - CNRL</t>
  </si>
  <si>
    <t>See Word File for Appendix 1</t>
  </si>
  <si>
    <r>
      <t>(from</t>
    </r>
    <r>
      <rPr>
        <b/>
        <i/>
        <sz val="11"/>
        <color indexed="8"/>
        <rFont val="Arial"/>
        <family val="2"/>
      </rPr>
      <t xml:space="preserve"> ID 2001-3</t>
    </r>
    <r>
      <rPr>
        <b/>
        <sz val="11"/>
        <color indexed="8"/>
        <rFont val="Arial"/>
        <family val="2"/>
      </rPr>
      <t>)</t>
    </r>
  </si>
  <si>
    <r>
      <t xml:space="preserve">(from </t>
    </r>
    <r>
      <rPr>
        <b/>
        <i/>
        <sz val="11"/>
        <color indexed="8"/>
        <rFont val="Arial"/>
        <family val="2"/>
      </rPr>
      <t>ID 2001-3</t>
    </r>
    <r>
      <rPr>
        <b/>
        <sz val="11"/>
        <color indexed="8"/>
        <rFont val="Arial"/>
        <family val="2"/>
      </rPr>
      <t>)</t>
    </r>
  </si>
  <si>
    <t>Acheson -Canetic</t>
  </si>
  <si>
    <r>
      <t>Brazeau R. - Keyera</t>
    </r>
    <r>
      <rPr>
        <b/>
        <vertAlign val="superscript"/>
        <sz val="12"/>
        <color indexed="8"/>
        <rFont val="Arial"/>
        <family val="2"/>
      </rPr>
      <t>1</t>
    </r>
  </si>
  <si>
    <t>Bigoray - Keyera</t>
  </si>
  <si>
    <r>
      <t>Bellshill Lake - Viking Holdings</t>
    </r>
    <r>
      <rPr>
        <b/>
        <vertAlign val="superscript"/>
        <sz val="12"/>
        <color indexed="8"/>
        <rFont val="Arial"/>
        <family val="2"/>
      </rPr>
      <t>1</t>
    </r>
  </si>
  <si>
    <t>Dizzy (Steen River) Caribou</t>
  </si>
  <si>
    <t>Leduc-Woodbend (Calmar) - MEC Operating Co.</t>
  </si>
  <si>
    <r>
      <t>Mitsue - Canetic</t>
    </r>
    <r>
      <rPr>
        <b/>
        <vertAlign val="superscript"/>
        <sz val="12"/>
        <color indexed="8"/>
        <rFont val="Arial"/>
        <family val="2"/>
      </rPr>
      <t>1</t>
    </r>
  </si>
  <si>
    <r>
      <t>Rainbow - Husky</t>
    </r>
    <r>
      <rPr>
        <b/>
        <vertAlign val="superscript"/>
        <sz val="12"/>
        <color indexed="8"/>
        <rFont val="Arial"/>
        <family val="2"/>
      </rPr>
      <t>1</t>
    </r>
  </si>
  <si>
    <t>Pembina - Keyera</t>
  </si>
  <si>
    <r>
      <t xml:space="preserve">         29.70</t>
    </r>
    <r>
      <rPr>
        <b/>
        <sz val="14"/>
        <color indexed="8"/>
        <rFont val="Arial"/>
        <family val="2"/>
      </rPr>
      <t>*</t>
    </r>
  </si>
  <si>
    <r>
      <t>Retlaw (Turin) - Taylor Management</t>
    </r>
    <r>
      <rPr>
        <b/>
        <vertAlign val="superscript"/>
        <sz val="12"/>
        <color indexed="8"/>
        <rFont val="Arial"/>
        <family val="2"/>
      </rPr>
      <t>2</t>
    </r>
  </si>
  <si>
    <r>
      <t>Swalwell - Pioneer</t>
    </r>
    <r>
      <rPr>
        <b/>
        <vertAlign val="superscript"/>
        <sz val="12"/>
        <color indexed="8"/>
        <rFont val="Arial"/>
        <family val="2"/>
      </rPr>
      <t>3</t>
    </r>
  </si>
  <si>
    <r>
      <t>Valhalla - Primewest</t>
    </r>
    <r>
      <rPr>
        <b/>
        <vertAlign val="super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(new)</t>
    </r>
  </si>
  <si>
    <r>
      <t>Virginia Hills (Hope Creek) - Apache</t>
    </r>
    <r>
      <rPr>
        <b/>
        <vertAlign val="superscript"/>
        <sz val="12"/>
        <color indexed="8"/>
        <rFont val="Arial"/>
        <family val="2"/>
      </rPr>
      <t>3</t>
    </r>
  </si>
  <si>
    <r>
      <t>Vulcan - (Long Coulee) ConocoPhillips</t>
    </r>
    <r>
      <rPr>
        <b/>
        <vertAlign val="superscript"/>
        <sz val="12"/>
        <color indexed="8"/>
        <rFont val="Arial"/>
        <family val="2"/>
      </rPr>
      <t>4</t>
    </r>
    <r>
      <rPr>
        <b/>
        <sz val="12"/>
        <color indexed="8"/>
        <rFont val="Arial"/>
        <family val="2"/>
      </rPr>
      <t xml:space="preserve">    </t>
    </r>
  </si>
  <si>
    <r>
      <t>20.10</t>
    </r>
    <r>
      <rPr>
        <b/>
        <sz val="14"/>
        <color indexed="8"/>
        <rFont val="Arial"/>
        <family val="2"/>
      </rPr>
      <t>*</t>
    </r>
  </si>
  <si>
    <t xml:space="preserve">West Drumheller -Canetic </t>
  </si>
  <si>
    <r>
      <t>2</t>
    </r>
    <r>
      <rPr>
        <sz val="12"/>
        <color indexed="8"/>
        <rFont val="Arial"/>
        <family val="2"/>
      </rPr>
      <t xml:space="preserve"> Previously was nongrandfathered acid gas flaring plant.</t>
    </r>
  </si>
  <si>
    <t>Rycroft - Birchcliff</t>
  </si>
  <si>
    <t>Windfall (West Whitecourt) - SEMCAMS</t>
  </si>
  <si>
    <r>
      <t>5.90</t>
    </r>
    <r>
      <rPr>
        <b/>
        <sz val="14"/>
        <color indexed="8"/>
        <rFont val="Arial"/>
        <family val="2"/>
      </rPr>
      <t>*</t>
    </r>
  </si>
  <si>
    <r>
      <t>Zama - Apache</t>
    </r>
    <r>
      <rPr>
        <b/>
        <vertAlign val="superscript"/>
        <sz val="12"/>
        <color indexed="8"/>
        <rFont val="Arial"/>
        <family val="2"/>
      </rPr>
      <t>2</t>
    </r>
  </si>
  <si>
    <r>
      <t xml:space="preserve">1 </t>
    </r>
    <r>
      <rPr>
        <sz val="12"/>
        <color indexed="8"/>
        <rFont val="Arial"/>
        <family val="2"/>
      </rPr>
      <t>Viking Bellshill Lk started as an AGI facility in January 2005. Injected sulphur in 2005 was 4.19 t/d.</t>
    </r>
  </si>
  <si>
    <r>
      <t xml:space="preserve">2 </t>
    </r>
    <r>
      <rPr>
        <sz val="12"/>
        <color indexed="8"/>
        <rFont val="Arial"/>
        <family val="2"/>
      </rPr>
      <t>Taylor Retlaw injected sulphur in 2005 was  1.92 t/d.</t>
    </r>
  </si>
  <si>
    <r>
      <t xml:space="preserve">3 </t>
    </r>
    <r>
      <rPr>
        <sz val="12"/>
        <color indexed="8"/>
        <rFont val="Arial"/>
        <family val="2"/>
      </rPr>
      <t>Apache Virginia Hills injected sulphur in 2005 was  9.19 t/d.</t>
    </r>
  </si>
  <si>
    <r>
      <t xml:space="preserve">4 </t>
    </r>
    <r>
      <rPr>
        <sz val="12"/>
        <color indexed="8"/>
        <rFont val="Arial"/>
        <family val="2"/>
      </rPr>
      <t>ConocoPhillips Vulcan injected sulphur in 2005 was  1.6 t/d.</t>
    </r>
  </si>
  <si>
    <t>Grandfathered and nongrandfathered plants (sulphur recovery or acid gas flaring) that are now AGI facilities</t>
  </si>
  <si>
    <r>
      <t>Appendix 3. Plants That Have Been Degrandfathered</t>
    </r>
    <r>
      <rPr>
        <b/>
        <sz val="16"/>
        <color indexed="8"/>
        <rFont val="Arial"/>
        <family val="2"/>
      </rPr>
      <t xml:space="preserve"> </t>
    </r>
  </si>
  <si>
    <t>Sturgeon Lake - Kereco</t>
  </si>
  <si>
    <r>
      <t>Rosevear (North) - Suncor</t>
    </r>
    <r>
      <rPr>
        <b/>
        <vertAlign val="superscript"/>
        <sz val="12"/>
        <color indexed="8"/>
        <rFont val="Arial"/>
        <family val="2"/>
      </rPr>
      <t>1</t>
    </r>
  </si>
  <si>
    <r>
      <t>Rosevear (South) - Suncor</t>
    </r>
    <r>
      <rPr>
        <b/>
        <vertAlign val="superscript"/>
        <sz val="12"/>
        <color indexed="8"/>
        <rFont val="Arial"/>
        <family val="2"/>
      </rPr>
      <t>1</t>
    </r>
  </si>
  <si>
    <r>
      <t>1</t>
    </r>
    <r>
      <rPr>
        <sz val="12"/>
        <color indexed="8"/>
        <rFont val="Arial"/>
        <family val="2"/>
      </rPr>
      <t xml:space="preserve"> Plant consolidation.</t>
    </r>
  </si>
  <si>
    <r>
      <t>2</t>
    </r>
    <r>
      <rPr>
        <sz val="12"/>
        <color indexed="8"/>
        <rFont val="Arial"/>
        <family val="2"/>
      </rPr>
      <t xml:space="preserve"> Apache Zama - shipping acid gas to adjacent AGI gas plant.</t>
    </r>
  </si>
  <si>
    <r>
      <t>1</t>
    </r>
    <r>
      <rPr>
        <sz val="12"/>
        <color indexed="8"/>
        <rFont val="Arial"/>
        <family val="2"/>
      </rPr>
      <t xml:space="preserve"> KeySpan Brazeau River became an acid gas injection (AGI) facility in 2003.  Injected sulphur volumes in 2005 were 134.4 t/d.</t>
    </r>
  </si>
  <si>
    <r>
      <t xml:space="preserve">2 </t>
    </r>
    <r>
      <rPr>
        <sz val="12"/>
        <color indexed="8"/>
        <rFont val="Arial"/>
        <family val="2"/>
      </rPr>
      <t>As of  October 2004, Zama has been delivering acid gas to its Apache Zama AGI plant. Delivered AGI was 5.45 t/d in 2005.</t>
    </r>
  </si>
  <si>
    <r>
      <t xml:space="preserve">3 </t>
    </r>
    <r>
      <rPr>
        <sz val="12"/>
        <color indexed="8"/>
        <rFont val="Arial"/>
        <family val="2"/>
      </rPr>
      <t>Pioneer Swalwell started as an AGI facility in August 2005. Injected sulphur was 1.44 t/d.</t>
    </r>
  </si>
  <si>
    <r>
      <t>1</t>
    </r>
    <r>
      <rPr>
        <sz val="12"/>
        <color indexed="8"/>
        <rFont val="Arial"/>
        <family val="2"/>
      </rPr>
      <t xml:space="preserve"> Husky Rainbow started as an AGI facility in January 2002. Injected sulphur was 136.5 t/d for 2005.</t>
    </r>
  </si>
  <si>
    <r>
      <t xml:space="preserve">1 </t>
    </r>
    <r>
      <rPr>
        <sz val="11"/>
        <color indexed="8"/>
        <rFont val="Arial"/>
        <family val="2"/>
      </rPr>
      <t xml:space="preserve">Previously a nongrandfathered acid gas flaring plant that had emissions of less than 1 t/d and is now an AGI facility.  </t>
    </r>
  </si>
  <si>
    <t>Plants that have been relicensed to higher sulphur recovery efficiency or lower sulphur inlets</t>
  </si>
  <si>
    <t>* Acid gas delivered into a Zama injection facility.</t>
  </si>
  <si>
    <t>*Pioneer Swalwell became an AGI facility in August 2005. Injected sulphur volumes in 2005 were 220.73 6 t/y.</t>
  </si>
  <si>
    <t xml:space="preserve">Appendix 4.1. Gas Plants with Sulphur Recovery, Year 2005 Minus Year 2000 </t>
  </si>
  <si>
    <t>Appendix 4.2. Gas Plants with Sulphur Recovery, Year 2000</t>
  </si>
  <si>
    <t xml:space="preserve">Appendix 4.3. Gas Plants with Sulphur Recovery, Year 2005 </t>
  </si>
  <si>
    <t>Appendix 5.  Sulphur Credits Earned</t>
  </si>
  <si>
    <t>Strome (Holmberg) - CNRL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</si>
</sst>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0.0"/>
    <numFmt numFmtId="169" formatCode="#,##0.0"/>
    <numFmt numFmtId="170" formatCode="mmm\-yyyy"/>
    <numFmt numFmtId="171" formatCode="mmmm\-yy"/>
    <numFmt numFmtId="172" formatCode="dd\-mmm\-yy"/>
    <numFmt numFmtId="173" formatCode="_(* #,##0_);_(* \(#,##0\);_(* &quot;-&quot;??_);_(@_)"/>
    <numFmt numFmtId="174" formatCode="#,##0.000"/>
    <numFmt numFmtId="175" formatCode="0.0%"/>
    <numFmt numFmtId="176" formatCode="0.00000000"/>
    <numFmt numFmtId="177" formatCode="0.0000"/>
    <numFmt numFmtId="178" formatCode="0.000"/>
    <numFmt numFmtId="179" formatCode="_(* #,##0.000_);_(* \(#,##0.000\);_(* &quot;-&quot;??_);_(@_)"/>
    <numFmt numFmtId="180" formatCode="_(* #,##0.0_);_(* \(#,##0.0\);_(* &quot;-&quot;?_);_(@_)"/>
    <numFmt numFmtId="181" formatCode="0.0000000000"/>
    <numFmt numFmtId="182" formatCode="0.000000000"/>
    <numFmt numFmtId="183" formatCode="0.0000000"/>
    <numFmt numFmtId="184" formatCode="0.000000"/>
    <numFmt numFmtId="185" formatCode="0.00000"/>
    <numFmt numFmtId="186" formatCode="#,##0.0_);\(#,##0.0\)"/>
    <numFmt numFmtId="187" formatCode="#,##0.000_);\(#,##0.000\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000000_);_(* \(#,##0.0000000\);_(* &quot;-&quot;??_);_(@_)"/>
    <numFmt numFmtId="192" formatCode="_(* #,##0.00000000_);_(* \(#,##0.0000000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3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1"/>
      <color indexed="8"/>
      <name val="Arial"/>
      <family val="2"/>
    </font>
    <font>
      <sz val="13"/>
      <color indexed="8"/>
      <name val="Wingdings"/>
      <family val="0"/>
    </font>
    <font>
      <sz val="14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Times New Roman"/>
      <family val="1"/>
    </font>
    <font>
      <b/>
      <u val="single"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left"/>
      <protection/>
    </xf>
    <xf numFmtId="0" fontId="8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7" fontId="9" fillId="0" borderId="1" xfId="15" applyNumberFormat="1" applyFont="1" applyFill="1" applyBorder="1" applyAlignment="1">
      <alignment horizontal="right" vertical="top" wrapText="1"/>
    </xf>
    <xf numFmtId="167" fontId="10" fillId="0" borderId="1" xfId="15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67" fontId="9" fillId="0" borderId="0" xfId="15" applyNumberFormat="1" applyFont="1" applyFill="1" applyBorder="1" applyAlignment="1">
      <alignment horizontal="right" vertical="top" wrapText="1"/>
    </xf>
    <xf numFmtId="167" fontId="10" fillId="0" borderId="0" xfId="15" applyNumberFormat="1" applyFont="1" applyFill="1" applyBorder="1" applyAlignment="1">
      <alignment horizontal="right" vertical="top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1" xfId="0" applyFont="1" applyFill="1" applyBorder="1" applyAlignment="1">
      <alignment/>
    </xf>
    <xf numFmtId="0" fontId="13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1" fontId="5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168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169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7" fontId="5" fillId="0" borderId="0" xfId="15" applyNumberFormat="1" applyFont="1" applyFill="1" applyAlignment="1">
      <alignment horizontal="right"/>
    </xf>
    <xf numFmtId="0" fontId="11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2" fontId="5" fillId="0" borderId="0" xfId="15" applyNumberFormat="1" applyFont="1" applyFill="1" applyAlignment="1">
      <alignment horizontal="center"/>
    </xf>
    <xf numFmtId="186" fontId="5" fillId="0" borderId="0" xfId="15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168" fontId="5" fillId="0" borderId="0" xfId="0" applyNumberFormat="1" applyFont="1" applyFill="1" applyAlignment="1">
      <alignment horizontal="center" vertical="top"/>
    </xf>
    <xf numFmtId="167" fontId="5" fillId="0" borderId="0" xfId="15" applyNumberFormat="1" applyFont="1" applyFill="1" applyAlignment="1">
      <alignment horizontal="right" vertical="top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 applyProtection="1">
      <alignment/>
      <protection/>
    </xf>
    <xf numFmtId="167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168" fontId="5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68" fontId="5" fillId="0" borderId="1" xfId="0" applyNumberFormat="1" applyFont="1" applyFill="1" applyBorder="1" applyAlignment="1">
      <alignment horizontal="center"/>
    </xf>
    <xf numFmtId="167" fontId="5" fillId="0" borderId="1" xfId="15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186" fontId="5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68" fontId="4" fillId="0" borderId="0" xfId="0" applyNumberFormat="1" applyFont="1" applyFill="1" applyAlignment="1">
      <alignment horizontal="center" vertical="top" wrapText="1"/>
    </xf>
    <xf numFmtId="175" fontId="4" fillId="0" borderId="0" xfId="21" applyNumberFormat="1" applyFont="1" applyFill="1" applyAlignment="1">
      <alignment horizontal="center" vertical="top" wrapText="1"/>
    </xf>
    <xf numFmtId="167" fontId="5" fillId="0" borderId="0" xfId="15" applyNumberFormat="1" applyFont="1" applyFill="1" applyAlignment="1">
      <alignment horizontal="right" vertical="top" wrapText="1"/>
    </xf>
    <xf numFmtId="167" fontId="4" fillId="0" borderId="0" xfId="15" applyNumberFormat="1" applyFont="1" applyFill="1" applyAlignment="1">
      <alignment horizontal="right" vertical="top" wrapText="1"/>
    </xf>
    <xf numFmtId="2" fontId="10" fillId="0" borderId="0" xfId="0" applyNumberFormat="1" applyFont="1" applyFill="1" applyAlignment="1">
      <alignment horizontal="center"/>
    </xf>
    <xf numFmtId="2" fontId="5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175" fontId="4" fillId="0" borderId="0" xfId="21" applyNumberFormat="1" applyFont="1" applyFill="1" applyBorder="1" applyAlignment="1">
      <alignment horizontal="center" wrapText="1"/>
    </xf>
    <xf numFmtId="167" fontId="5" fillId="0" borderId="0" xfId="15" applyNumberFormat="1" applyFont="1" applyFill="1" applyBorder="1" applyAlignment="1">
      <alignment horizontal="right" wrapText="1"/>
    </xf>
    <xf numFmtId="167" fontId="4" fillId="0" borderId="0" xfId="15" applyNumberFormat="1" applyFont="1" applyFill="1" applyBorder="1" applyAlignment="1">
      <alignment horizontal="right" wrapText="1"/>
    </xf>
    <xf numFmtId="0" fontId="19" fillId="0" borderId="0" xfId="0" applyFont="1" applyFill="1" applyAlignment="1">
      <alignment vertical="center"/>
    </xf>
    <xf numFmtId="0" fontId="12" fillId="0" borderId="0" xfId="0" applyFont="1" applyAlignment="1">
      <alignment vertical="top"/>
    </xf>
    <xf numFmtId="2" fontId="12" fillId="0" borderId="0" xfId="0" applyNumberFormat="1" applyFont="1" applyAlignment="1">
      <alignment vertical="top"/>
    </xf>
    <xf numFmtId="0" fontId="10" fillId="0" borderId="0" xfId="0" applyFont="1" applyFill="1" applyAlignment="1">
      <alignment/>
    </xf>
    <xf numFmtId="2" fontId="5" fillId="0" borderId="0" xfId="15" applyNumberFormat="1" applyFont="1" applyFill="1" applyAlignment="1">
      <alignment horizontal="right"/>
    </xf>
    <xf numFmtId="0" fontId="20" fillId="0" borderId="0" xfId="0" applyFont="1" applyFill="1" applyAlignment="1">
      <alignment horizontal="center"/>
    </xf>
    <xf numFmtId="2" fontId="5" fillId="0" borderId="0" xfId="15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1" xfId="15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8" fillId="0" borderId="1" xfId="0" applyFont="1" applyBorder="1" applyAlignment="1">
      <alignment/>
    </xf>
    <xf numFmtId="0" fontId="22" fillId="0" borderId="1" xfId="0" applyFont="1" applyBorder="1" applyAlignment="1">
      <alignment horizontal="left" indent="2"/>
    </xf>
    <xf numFmtId="0" fontId="14" fillId="0" borderId="1" xfId="0" applyFont="1" applyBorder="1" applyAlignment="1">
      <alignment/>
    </xf>
    <xf numFmtId="0" fontId="14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left" indent="2"/>
    </xf>
    <xf numFmtId="0" fontId="9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2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indent="2"/>
    </xf>
    <xf numFmtId="2" fontId="5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 horizontal="left" indent="2"/>
    </xf>
    <xf numFmtId="0" fontId="5" fillId="0" borderId="1" xfId="0" applyFont="1" applyBorder="1" applyAlignment="1">
      <alignment horizontal="left" indent="2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Fill="1" applyAlignment="1">
      <alignment horizontal="left" indent="2"/>
    </xf>
    <xf numFmtId="2" fontId="5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1" xfId="0" applyFont="1" applyBorder="1" applyAlignment="1">
      <alignment horizontal="left"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172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1" xfId="0" applyNumberFormat="1" applyFont="1" applyFill="1" applyBorder="1" applyAlignment="1">
      <alignment/>
    </xf>
    <xf numFmtId="169" fontId="12" fillId="0" borderId="1" xfId="0" applyNumberFormat="1" applyFont="1" applyFill="1" applyBorder="1" applyAlignment="1">
      <alignment/>
    </xf>
    <xf numFmtId="172" fontId="12" fillId="0" borderId="1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23" fillId="0" borderId="0" xfId="0" applyFont="1" applyAlignment="1">
      <alignment/>
    </xf>
    <xf numFmtId="172" fontId="24" fillId="0" borderId="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169" fontId="24" fillId="0" borderId="0" xfId="0" applyNumberFormat="1" applyFont="1" applyFill="1" applyBorder="1" applyAlignment="1">
      <alignment horizontal="center"/>
    </xf>
    <xf numFmtId="172" fontId="24" fillId="0" borderId="0" xfId="0" applyNumberFormat="1" applyFont="1" applyFill="1" applyBorder="1" applyAlignment="1">
      <alignment horizontal="center"/>
    </xf>
    <xf numFmtId="0" fontId="12" fillId="0" borderId="3" xfId="0" applyFont="1" applyBorder="1" applyAlignment="1">
      <alignment/>
    </xf>
    <xf numFmtId="172" fontId="12" fillId="0" borderId="0" xfId="0" applyNumberFormat="1" applyFont="1" applyAlignment="1">
      <alignment/>
    </xf>
    <xf numFmtId="4" fontId="12" fillId="0" borderId="4" xfId="0" applyNumberFormat="1" applyFont="1" applyBorder="1" applyAlignment="1">
      <alignment/>
    </xf>
    <xf numFmtId="4" fontId="12" fillId="0" borderId="5" xfId="0" applyNumberFormat="1" applyFont="1" applyBorder="1" applyAlignment="1">
      <alignment/>
    </xf>
    <xf numFmtId="169" fontId="24" fillId="0" borderId="5" xfId="0" applyNumberFormat="1" applyFont="1" applyFill="1" applyBorder="1" applyAlignment="1">
      <alignment horizontal="center"/>
    </xf>
    <xf numFmtId="169" fontId="23" fillId="0" borderId="5" xfId="0" applyNumberFormat="1" applyFont="1" applyFill="1" applyBorder="1" applyAlignment="1">
      <alignment horizontal="left"/>
    </xf>
    <xf numFmtId="4" fontId="23" fillId="0" borderId="5" xfId="0" applyNumberFormat="1" applyFont="1" applyBorder="1" applyAlignment="1">
      <alignment horizontal="center"/>
    </xf>
    <xf numFmtId="169" fontId="24" fillId="0" borderId="6" xfId="0" applyNumberFormat="1" applyFont="1" applyFill="1" applyBorder="1" applyAlignment="1">
      <alignment horizontal="center"/>
    </xf>
    <xf numFmtId="169" fontId="12" fillId="0" borderId="0" xfId="0" applyNumberFormat="1" applyFont="1" applyFill="1" applyAlignment="1">
      <alignment/>
    </xf>
    <xf numFmtId="169" fontId="12" fillId="0" borderId="4" xfId="0" applyNumberFormat="1" applyFont="1" applyFill="1" applyBorder="1" applyAlignment="1">
      <alignment/>
    </xf>
    <xf numFmtId="169" fontId="23" fillId="0" borderId="5" xfId="0" applyNumberFormat="1" applyFont="1" applyFill="1" applyBorder="1" applyAlignment="1">
      <alignment horizontal="center"/>
    </xf>
    <xf numFmtId="169" fontId="24" fillId="0" borderId="4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4" fontId="23" fillId="0" borderId="0" xfId="0" applyNumberFormat="1" applyFont="1" applyAlignment="1">
      <alignment horizontal="right" wrapText="1"/>
    </xf>
    <xf numFmtId="169" fontId="23" fillId="0" borderId="0" xfId="0" applyNumberFormat="1" applyFont="1" applyBorder="1" applyAlignment="1">
      <alignment horizontal="right" vertical="top" wrapText="1"/>
    </xf>
    <xf numFmtId="169" fontId="23" fillId="0" borderId="0" xfId="0" applyNumberFormat="1" applyFont="1" applyBorder="1" applyAlignment="1">
      <alignment horizontal="right" wrapText="1"/>
    </xf>
    <xf numFmtId="169" fontId="23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Alignment="1">
      <alignment/>
    </xf>
    <xf numFmtId="169" fontId="23" fillId="0" borderId="0" xfId="0" applyNumberFormat="1" applyFont="1" applyFill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23" fillId="0" borderId="0" xfId="0" applyFont="1" applyBorder="1" applyAlignment="1">
      <alignment/>
    </xf>
    <xf numFmtId="4" fontId="12" fillId="0" borderId="0" xfId="0" applyNumberFormat="1" applyFont="1" applyAlignment="1">
      <alignment/>
    </xf>
    <xf numFmtId="172" fontId="12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172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center"/>
    </xf>
    <xf numFmtId="4" fontId="12" fillId="0" borderId="0" xfId="0" applyNumberFormat="1" applyFont="1" applyFill="1" applyAlignment="1">
      <alignment horizontal="right"/>
    </xf>
    <xf numFmtId="15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 horizontal="right"/>
    </xf>
    <xf numFmtId="169" fontId="12" fillId="0" borderId="0" xfId="0" applyNumberFormat="1" applyFont="1" applyFill="1" applyAlignment="1">
      <alignment horizontal="right"/>
    </xf>
    <xf numFmtId="172" fontId="12" fillId="0" borderId="0" xfId="0" applyNumberFormat="1" applyFont="1" applyAlignment="1">
      <alignment horizontal="left"/>
    </xf>
    <xf numFmtId="169" fontId="12" fillId="0" borderId="0" xfId="0" applyNumberFormat="1" applyFont="1" applyAlignment="1">
      <alignment horizontal="center"/>
    </xf>
    <xf numFmtId="169" fontId="23" fillId="0" borderId="0" xfId="0" applyNumberFormat="1" applyFont="1" applyBorder="1" applyAlignment="1">
      <alignment horizontal="center"/>
    </xf>
    <xf numFmtId="180" fontId="12" fillId="0" borderId="0" xfId="0" applyNumberFormat="1" applyFont="1" applyBorder="1" applyAlignment="1">
      <alignment horizontal="right"/>
    </xf>
    <xf numFmtId="180" fontId="12" fillId="0" borderId="0" xfId="0" applyNumberFormat="1" applyFont="1" applyFill="1" applyBorder="1" applyAlignment="1">
      <alignment horizontal="right"/>
    </xf>
    <xf numFmtId="169" fontId="23" fillId="0" borderId="0" xfId="0" applyNumberFormat="1" applyFont="1" applyFill="1" applyBorder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172" fontId="12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Alignment="1">
      <alignment horizontal="right"/>
    </xf>
    <xf numFmtId="169" fontId="12" fillId="0" borderId="0" xfId="0" applyNumberFormat="1" applyFont="1" applyAlignment="1">
      <alignment/>
    </xf>
    <xf numFmtId="180" fontId="12" fillId="0" borderId="0" xfId="0" applyNumberFormat="1" applyFont="1" applyAlignment="1">
      <alignment horizontal="right"/>
    </xf>
    <xf numFmtId="172" fontId="12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right"/>
    </xf>
    <xf numFmtId="169" fontId="12" fillId="0" borderId="0" xfId="0" applyNumberFormat="1" applyFont="1" applyAlignment="1">
      <alignment horizontal="left"/>
    </xf>
    <xf numFmtId="169" fontId="12" fillId="0" borderId="0" xfId="0" applyNumberFormat="1" applyFont="1" applyBorder="1" applyAlignment="1">
      <alignment horizontal="center"/>
    </xf>
    <xf numFmtId="169" fontId="12" fillId="0" borderId="0" xfId="0" applyNumberFormat="1" applyFont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left"/>
    </xf>
    <xf numFmtId="168" fontId="23" fillId="0" borderId="0" xfId="0" applyNumberFormat="1" applyFont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172" fontId="12" fillId="0" borderId="0" xfId="0" applyNumberFormat="1" applyFont="1" applyAlignment="1">
      <alignment horizontal="right" vertical="top"/>
    </xf>
    <xf numFmtId="4" fontId="12" fillId="0" borderId="0" xfId="0" applyNumberFormat="1" applyFont="1" applyAlignment="1">
      <alignment horizontal="right" vertical="top"/>
    </xf>
    <xf numFmtId="169" fontId="12" fillId="0" borderId="0" xfId="0" applyNumberFormat="1" applyFont="1" applyAlignment="1">
      <alignment horizontal="right" vertical="top"/>
    </xf>
    <xf numFmtId="179" fontId="12" fillId="0" borderId="0" xfId="0" applyNumberFormat="1" applyFont="1" applyAlignment="1">
      <alignment vertical="top"/>
    </xf>
    <xf numFmtId="179" fontId="12" fillId="0" borderId="0" xfId="0" applyNumberFormat="1" applyFont="1" applyFill="1" applyAlignment="1">
      <alignment vertical="top"/>
    </xf>
    <xf numFmtId="169" fontId="12" fillId="0" borderId="0" xfId="0" applyNumberFormat="1" applyFont="1" applyFill="1" applyAlignment="1">
      <alignment horizontal="right" vertical="top"/>
    </xf>
    <xf numFmtId="4" fontId="12" fillId="0" borderId="0" xfId="0" applyNumberFormat="1" applyFont="1" applyFill="1" applyAlignment="1">
      <alignment horizontal="right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12" fillId="0" borderId="0" xfId="0" applyFont="1" applyFill="1" applyAlignment="1">
      <alignment vertical="top"/>
    </xf>
    <xf numFmtId="0" fontId="4" fillId="0" borderId="0" xfId="0" applyFont="1" applyBorder="1" applyAlignment="1">
      <alignment/>
    </xf>
    <xf numFmtId="173" fontId="12" fillId="0" borderId="0" xfId="15" applyNumberFormat="1" applyFont="1" applyAlignment="1">
      <alignment/>
    </xf>
    <xf numFmtId="4" fontId="12" fillId="0" borderId="0" xfId="15" applyNumberFormat="1" applyFont="1" applyAlignment="1">
      <alignment/>
    </xf>
    <xf numFmtId="4" fontId="23" fillId="0" borderId="0" xfId="15" applyNumberFormat="1" applyFont="1" applyAlignment="1">
      <alignment horizontal="right"/>
    </xf>
    <xf numFmtId="4" fontId="23" fillId="0" borderId="0" xfId="15" applyNumberFormat="1" applyFont="1" applyFill="1" applyAlignment="1">
      <alignment horizontal="right"/>
    </xf>
    <xf numFmtId="173" fontId="23" fillId="0" borderId="0" xfId="15" applyNumberFormat="1" applyFont="1" applyFill="1" applyAlignment="1">
      <alignment horizontal="right"/>
    </xf>
    <xf numFmtId="169" fontId="23" fillId="0" borderId="0" xfId="0" applyNumberFormat="1" applyFont="1" applyFill="1" applyAlignment="1">
      <alignment horizontal="right"/>
    </xf>
    <xf numFmtId="0" fontId="18" fillId="0" borderId="0" xfId="0" applyFont="1" applyAlignment="1">
      <alignment/>
    </xf>
    <xf numFmtId="43" fontId="12" fillId="0" borderId="0" xfId="15" applyFont="1" applyFill="1" applyAlignment="1">
      <alignment/>
    </xf>
    <xf numFmtId="168" fontId="12" fillId="0" borderId="0" xfId="0" applyNumberFormat="1" applyFont="1" applyFill="1" applyAlignment="1">
      <alignment/>
    </xf>
    <xf numFmtId="4" fontId="18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13" fillId="0" borderId="1" xfId="0" applyFont="1" applyBorder="1" applyAlignment="1">
      <alignment horizontal="left"/>
    </xf>
    <xf numFmtId="0" fontId="21" fillId="0" borderId="1" xfId="0" applyFont="1" applyBorder="1" applyAlignment="1">
      <alignment/>
    </xf>
    <xf numFmtId="167" fontId="12" fillId="0" borderId="1" xfId="15" applyNumberFormat="1" applyFont="1" applyBorder="1" applyAlignment="1">
      <alignment/>
    </xf>
    <xf numFmtId="167" fontId="12" fillId="0" borderId="0" xfId="15" applyNumberFormat="1" applyFont="1" applyBorder="1" applyAlignment="1">
      <alignment/>
    </xf>
    <xf numFmtId="0" fontId="12" fillId="0" borderId="1" xfId="0" applyFont="1" applyFill="1" applyBorder="1" applyAlignment="1">
      <alignment/>
    </xf>
    <xf numFmtId="0" fontId="23" fillId="0" borderId="1" xfId="0" applyFont="1" applyFill="1" applyBorder="1" applyAlignment="1">
      <alignment/>
    </xf>
    <xf numFmtId="167" fontId="23" fillId="0" borderId="1" xfId="15" applyNumberFormat="1" applyFont="1" applyBorder="1" applyAlignment="1">
      <alignment/>
    </xf>
    <xf numFmtId="0" fontId="12" fillId="0" borderId="0" xfId="0" applyFont="1" applyAlignment="1">
      <alignment/>
    </xf>
    <xf numFmtId="9" fontId="12" fillId="0" borderId="0" xfId="21" applyFont="1" applyFill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4" fillId="0" borderId="0" xfId="15" applyNumberFormat="1" applyFont="1" applyAlignment="1">
      <alignment horizontal="right"/>
    </xf>
    <xf numFmtId="167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4" fillId="0" borderId="0" xfId="15" applyNumberFormat="1" applyFont="1" applyBorder="1" applyAlignment="1">
      <alignment horizontal="center"/>
    </xf>
    <xf numFmtId="167" fontId="5" fillId="0" borderId="0" xfId="15" applyNumberFormat="1" applyFont="1" applyAlignment="1">
      <alignment horizontal="right"/>
    </xf>
    <xf numFmtId="0" fontId="12" fillId="0" borderId="0" xfId="15" applyNumberFormat="1" applyFont="1" applyAlignment="1">
      <alignment/>
    </xf>
    <xf numFmtId="0" fontId="12" fillId="0" borderId="0" xfId="15" applyNumberFormat="1" applyFont="1" applyFill="1" applyAlignment="1">
      <alignment/>
    </xf>
    <xf numFmtId="0" fontId="8" fillId="0" borderId="0" xfId="0" applyFont="1" applyAlignment="1">
      <alignment/>
    </xf>
    <xf numFmtId="9" fontId="12" fillId="0" borderId="0" xfId="21" applyFont="1" applyAlignment="1">
      <alignment horizontal="right"/>
    </xf>
    <xf numFmtId="9" fontId="12" fillId="0" borderId="0" xfId="21" applyFont="1" applyFill="1" applyAlignment="1">
      <alignment horizontal="right"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167" fontId="4" fillId="0" borderId="1" xfId="15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7" fontId="5" fillId="0" borderId="0" xfId="15" applyNumberFormat="1" applyFont="1" applyAlignment="1">
      <alignment/>
    </xf>
    <xf numFmtId="167" fontId="12" fillId="0" borderId="1" xfId="15" applyNumberFormat="1" applyFont="1" applyBorder="1" applyAlignment="1">
      <alignment horizontal="center"/>
    </xf>
    <xf numFmtId="167" fontId="12" fillId="0" borderId="1" xfId="15" applyNumberFormat="1" applyFont="1" applyBorder="1" applyAlignment="1">
      <alignment horizontal="right"/>
    </xf>
    <xf numFmtId="167" fontId="12" fillId="0" borderId="0" xfId="15" applyNumberFormat="1" applyFont="1" applyAlignment="1">
      <alignment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67" fontId="12" fillId="0" borderId="0" xfId="15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left"/>
    </xf>
    <xf numFmtId="167" fontId="5" fillId="0" borderId="0" xfId="15" applyNumberFormat="1" applyFont="1" applyFill="1" applyAlignment="1">
      <alignment/>
    </xf>
    <xf numFmtId="167" fontId="5" fillId="0" borderId="0" xfId="15" applyNumberFormat="1" applyFont="1" applyFill="1" applyAlignment="1">
      <alignment/>
    </xf>
    <xf numFmtId="175" fontId="5" fillId="0" borderId="0" xfId="21" applyNumberFormat="1" applyFont="1" applyFill="1" applyAlignment="1">
      <alignment/>
    </xf>
    <xf numFmtId="167" fontId="5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43" fontId="5" fillId="0" borderId="0" xfId="15" applyNumberFormat="1" applyFont="1" applyFill="1" applyAlignment="1">
      <alignment/>
    </xf>
    <xf numFmtId="43" fontId="5" fillId="0" borderId="0" xfId="15" applyNumberFormat="1" applyFont="1" applyFill="1" applyBorder="1" applyAlignment="1">
      <alignment/>
    </xf>
    <xf numFmtId="43" fontId="12" fillId="0" borderId="0" xfId="0" applyNumberFormat="1" applyFont="1" applyFill="1" applyAlignment="1">
      <alignment/>
    </xf>
    <xf numFmtId="180" fontId="12" fillId="0" borderId="0" xfId="0" applyNumberFormat="1" applyFont="1" applyFill="1" applyAlignment="1">
      <alignment/>
    </xf>
    <xf numFmtId="167" fontId="12" fillId="0" borderId="0" xfId="15" applyNumberFormat="1" applyFont="1" applyFill="1" applyAlignment="1">
      <alignment/>
    </xf>
    <xf numFmtId="0" fontId="2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7" fontId="12" fillId="0" borderId="0" xfId="0" applyNumberFormat="1" applyFont="1" applyFill="1" applyAlignment="1">
      <alignment/>
    </xf>
    <xf numFmtId="43" fontId="26" fillId="0" borderId="0" xfId="15" applyNumberFormat="1" applyFont="1" applyFill="1" applyAlignment="1" applyProtection="1">
      <alignment/>
      <protection/>
    </xf>
    <xf numFmtId="175" fontId="12" fillId="0" borderId="0" xfId="0" applyNumberFormat="1" applyFont="1" applyFill="1" applyAlignment="1">
      <alignment/>
    </xf>
    <xf numFmtId="175" fontId="12" fillId="0" borderId="0" xfId="21" applyNumberFormat="1" applyFont="1" applyFill="1" applyAlignment="1">
      <alignment/>
    </xf>
    <xf numFmtId="0" fontId="8" fillId="0" borderId="0" xfId="0" applyFont="1" applyFill="1" applyAlignment="1">
      <alignment/>
    </xf>
    <xf numFmtId="168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 horizontal="right"/>
    </xf>
    <xf numFmtId="43" fontId="5" fillId="0" borderId="0" xfId="15" applyNumberFormat="1" applyFont="1" applyFill="1" applyAlignment="1">
      <alignment horizontal="right" vertical="top" wrapText="1"/>
    </xf>
    <xf numFmtId="0" fontId="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8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67" fontId="4" fillId="0" borderId="3" xfId="15" applyNumberFormat="1" applyFont="1" applyFill="1" applyBorder="1" applyAlignment="1">
      <alignment/>
    </xf>
    <xf numFmtId="167" fontId="8" fillId="0" borderId="3" xfId="15" applyNumberFormat="1" applyFont="1" applyFill="1" applyBorder="1" applyAlignment="1">
      <alignment/>
    </xf>
    <xf numFmtId="175" fontId="8" fillId="0" borderId="3" xfId="21" applyNumberFormat="1" applyFont="1" applyFill="1" applyBorder="1" applyAlignment="1">
      <alignment/>
    </xf>
    <xf numFmtId="0" fontId="8" fillId="0" borderId="3" xfId="0" applyFont="1" applyFill="1" applyBorder="1" applyAlignment="1">
      <alignment horizontal="right"/>
    </xf>
    <xf numFmtId="167" fontId="8" fillId="0" borderId="0" xfId="15" applyNumberFormat="1" applyFont="1" applyFill="1" applyBorder="1" applyAlignment="1">
      <alignment/>
    </xf>
    <xf numFmtId="43" fontId="8" fillId="0" borderId="3" xfId="15" applyNumberFormat="1" applyFont="1" applyFill="1" applyBorder="1" applyAlignment="1">
      <alignment horizontal="right"/>
    </xf>
    <xf numFmtId="43" fontId="8" fillId="0" borderId="3" xfId="15" applyNumberFormat="1" applyFont="1" applyFill="1" applyBorder="1" applyAlignment="1">
      <alignment/>
    </xf>
    <xf numFmtId="43" fontId="8" fillId="0" borderId="3" xfId="15" applyNumberFormat="1" applyFont="1" applyFill="1" applyBorder="1" applyAlignment="1">
      <alignment/>
    </xf>
    <xf numFmtId="167" fontId="23" fillId="0" borderId="0" xfId="15" applyNumberFormat="1" applyFont="1" applyFill="1" applyAlignment="1">
      <alignment/>
    </xf>
    <xf numFmtId="43" fontId="8" fillId="0" borderId="0" xfId="0" applyNumberFormat="1" applyFont="1" applyFill="1" applyAlignment="1">
      <alignment/>
    </xf>
    <xf numFmtId="9" fontId="8" fillId="0" borderId="0" xfId="21" applyFont="1" applyFill="1" applyAlignment="1">
      <alignment/>
    </xf>
    <xf numFmtId="0" fontId="21" fillId="0" borderId="0" xfId="0" applyFont="1" applyFill="1" applyBorder="1" applyAlignment="1">
      <alignment horizontal="left"/>
    </xf>
    <xf numFmtId="167" fontId="12" fillId="0" borderId="0" xfId="0" applyNumberFormat="1" applyFont="1" applyFill="1" applyAlignment="1">
      <alignment horizontal="right"/>
    </xf>
    <xf numFmtId="167" fontId="12" fillId="0" borderId="0" xfId="15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7" fontId="12" fillId="0" borderId="0" xfId="15" applyNumberFormat="1" applyFont="1" applyFill="1" applyAlignment="1">
      <alignment horizontal="right"/>
    </xf>
    <xf numFmtId="0" fontId="8" fillId="0" borderId="1" xfId="0" applyFont="1" applyFill="1" applyBorder="1" applyAlignment="1">
      <alignment/>
    </xf>
    <xf numFmtId="167" fontId="8" fillId="0" borderId="1" xfId="15" applyNumberFormat="1" applyFont="1" applyFill="1" applyBorder="1" applyAlignment="1">
      <alignment/>
    </xf>
    <xf numFmtId="167" fontId="21" fillId="0" borderId="1" xfId="15" applyNumberFormat="1" applyFont="1" applyFill="1" applyBorder="1" applyAlignment="1">
      <alignment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/>
    </xf>
    <xf numFmtId="175" fontId="21" fillId="0" borderId="1" xfId="21" applyNumberFormat="1" applyFont="1" applyFill="1" applyBorder="1" applyAlignment="1">
      <alignment/>
    </xf>
    <xf numFmtId="167" fontId="21" fillId="0" borderId="1" xfId="0" applyNumberFormat="1" applyFont="1" applyFill="1" applyBorder="1" applyAlignment="1">
      <alignment horizontal="right"/>
    </xf>
    <xf numFmtId="167" fontId="21" fillId="0" borderId="0" xfId="15" applyNumberFormat="1" applyFont="1" applyFill="1" applyBorder="1" applyAlignment="1">
      <alignment/>
    </xf>
    <xf numFmtId="167" fontId="8" fillId="0" borderId="0" xfId="15" applyNumberFormat="1" applyFont="1" applyFill="1" applyAlignment="1">
      <alignment/>
    </xf>
    <xf numFmtId="180" fontId="21" fillId="0" borderId="0" xfId="0" applyNumberFormat="1" applyFont="1" applyFill="1" applyAlignment="1">
      <alignment/>
    </xf>
    <xf numFmtId="167" fontId="21" fillId="0" borderId="0" xfId="15" applyNumberFormat="1" applyFont="1" applyFill="1" applyAlignment="1">
      <alignment/>
    </xf>
    <xf numFmtId="9" fontId="21" fillId="0" borderId="0" xfId="21" applyFont="1" applyFill="1" applyAlignment="1">
      <alignment/>
    </xf>
    <xf numFmtId="175" fontId="5" fillId="0" borderId="0" xfId="21" applyNumberFormat="1" applyFont="1" applyFill="1" applyBorder="1" applyAlignment="1">
      <alignment/>
    </xf>
    <xf numFmtId="167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Alignment="1">
      <alignment/>
    </xf>
    <xf numFmtId="9" fontId="5" fillId="0" borderId="0" xfId="21" applyFont="1" applyFill="1" applyAlignment="1">
      <alignment/>
    </xf>
    <xf numFmtId="167" fontId="5" fillId="0" borderId="1" xfId="15" applyNumberFormat="1" applyFont="1" applyFill="1" applyBorder="1" applyAlignment="1">
      <alignment/>
    </xf>
    <xf numFmtId="167" fontId="5" fillId="0" borderId="1" xfId="15" applyNumberFormat="1" applyFont="1" applyFill="1" applyBorder="1" applyAlignment="1">
      <alignment/>
    </xf>
    <xf numFmtId="175" fontId="5" fillId="0" borderId="1" xfId="21" applyNumberFormat="1" applyFont="1" applyFill="1" applyBorder="1" applyAlignment="1">
      <alignment/>
    </xf>
    <xf numFmtId="167" fontId="5" fillId="0" borderId="1" xfId="0" applyNumberFormat="1" applyFont="1" applyFill="1" applyBorder="1" applyAlignment="1">
      <alignment horizontal="right"/>
    </xf>
    <xf numFmtId="167" fontId="4" fillId="0" borderId="0" xfId="15" applyNumberFormat="1" applyFont="1" applyFill="1" applyAlignment="1">
      <alignment/>
    </xf>
    <xf numFmtId="0" fontId="8" fillId="0" borderId="0" xfId="0" applyFont="1" applyFill="1" applyBorder="1" applyAlignment="1">
      <alignment/>
    </xf>
    <xf numFmtId="175" fontId="8" fillId="0" borderId="0" xfId="21" applyNumberFormat="1" applyFont="1" applyFill="1" applyAlignment="1">
      <alignment/>
    </xf>
    <xf numFmtId="167" fontId="8" fillId="0" borderId="0" xfId="0" applyNumberFormat="1" applyFont="1" applyFill="1" applyAlignment="1">
      <alignment horizontal="right"/>
    </xf>
    <xf numFmtId="167" fontId="8" fillId="0" borderId="0" xfId="15" applyNumberFormat="1" applyFont="1" applyFill="1" applyAlignment="1">
      <alignment horizontal="right"/>
    </xf>
    <xf numFmtId="175" fontId="8" fillId="0" borderId="0" xfId="21" applyNumberFormat="1" applyFont="1" applyFill="1" applyAlignment="1">
      <alignment horizontal="right"/>
    </xf>
    <xf numFmtId="168" fontId="5" fillId="0" borderId="0" xfId="21" applyNumberFormat="1" applyFont="1" applyFill="1" applyBorder="1" applyAlignment="1">
      <alignment horizontal="right"/>
    </xf>
    <xf numFmtId="175" fontId="8" fillId="0" borderId="1" xfId="21" applyNumberFormat="1" applyFont="1" applyFill="1" applyBorder="1" applyAlignment="1">
      <alignment/>
    </xf>
    <xf numFmtId="167" fontId="8" fillId="0" borderId="1" xfId="0" applyNumberFormat="1" applyFont="1" applyFill="1" applyBorder="1" applyAlignment="1">
      <alignment horizontal="right"/>
    </xf>
    <xf numFmtId="167" fontId="8" fillId="0" borderId="1" xfId="15" applyNumberFormat="1" applyFont="1" applyFill="1" applyBorder="1" applyAlignment="1">
      <alignment horizontal="right"/>
    </xf>
    <xf numFmtId="180" fontId="8" fillId="0" borderId="0" xfId="0" applyNumberFormat="1" applyFont="1" applyFill="1" applyAlignment="1">
      <alignment/>
    </xf>
    <xf numFmtId="0" fontId="5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167" fontId="5" fillId="0" borderId="5" xfId="15" applyNumberFormat="1" applyFont="1" applyFill="1" applyBorder="1" applyAlignment="1">
      <alignment/>
    </xf>
    <xf numFmtId="167" fontId="5" fillId="0" borderId="5" xfId="15" applyNumberFormat="1" applyFont="1" applyFill="1" applyBorder="1" applyAlignment="1">
      <alignment/>
    </xf>
    <xf numFmtId="167" fontId="8" fillId="0" borderId="5" xfId="15" applyNumberFormat="1" applyFont="1" applyFill="1" applyBorder="1" applyAlignment="1">
      <alignment/>
    </xf>
    <xf numFmtId="175" fontId="8" fillId="0" borderId="5" xfId="21" applyNumberFormat="1" applyFont="1" applyFill="1" applyBorder="1" applyAlignment="1">
      <alignment/>
    </xf>
    <xf numFmtId="167" fontId="8" fillId="0" borderId="5" xfId="0" applyNumberFormat="1" applyFont="1" applyFill="1" applyBorder="1" applyAlignment="1">
      <alignment horizontal="right"/>
    </xf>
    <xf numFmtId="167" fontId="5" fillId="0" borderId="5" xfId="15" applyNumberFormat="1" applyFont="1" applyFill="1" applyBorder="1" applyAlignment="1">
      <alignment horizontal="right"/>
    </xf>
    <xf numFmtId="175" fontId="5" fillId="0" borderId="5" xfId="21" applyNumberFormat="1" applyFont="1" applyFill="1" applyBorder="1" applyAlignment="1">
      <alignment/>
    </xf>
    <xf numFmtId="168" fontId="5" fillId="0" borderId="5" xfId="0" applyNumberFormat="1" applyFont="1" applyFill="1" applyBorder="1" applyAlignment="1">
      <alignment/>
    </xf>
    <xf numFmtId="43" fontId="8" fillId="0" borderId="0" xfId="15" applyNumberFormat="1" applyFont="1" applyFill="1" applyAlignment="1">
      <alignment horizontal="right"/>
    </xf>
    <xf numFmtId="43" fontId="8" fillId="0" borderId="0" xfId="15" applyNumberFormat="1" applyFont="1" applyFill="1" applyAlignment="1">
      <alignment/>
    </xf>
    <xf numFmtId="167" fontId="12" fillId="0" borderId="1" xfId="15" applyNumberFormat="1" applyFont="1" applyFill="1" applyBorder="1" applyAlignment="1">
      <alignment/>
    </xf>
    <xf numFmtId="175" fontId="12" fillId="0" borderId="1" xfId="21" applyNumberFormat="1" applyFont="1" applyFill="1" applyBorder="1" applyAlignment="1">
      <alignment/>
    </xf>
    <xf numFmtId="0" fontId="12" fillId="0" borderId="1" xfId="0" applyFont="1" applyFill="1" applyBorder="1" applyAlignment="1">
      <alignment horizontal="right"/>
    </xf>
    <xf numFmtId="167" fontId="12" fillId="0" borderId="1" xfId="15" applyNumberFormat="1" applyFont="1" applyFill="1" applyBorder="1" applyAlignment="1">
      <alignment horizontal="right"/>
    </xf>
    <xf numFmtId="0" fontId="27" fillId="0" borderId="0" xfId="0" applyFont="1" applyFill="1" applyAlignment="1">
      <alignment/>
    </xf>
    <xf numFmtId="179" fontId="5" fillId="0" borderId="0" xfId="15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43" fontId="5" fillId="0" borderId="0" xfId="15" applyNumberFormat="1" applyFont="1" applyFill="1" applyBorder="1" applyAlignment="1">
      <alignment horizontal="right"/>
    </xf>
    <xf numFmtId="175" fontId="5" fillId="0" borderId="0" xfId="21" applyNumberFormat="1" applyFont="1" applyFill="1" applyAlignment="1">
      <alignment horizontal="right"/>
    </xf>
    <xf numFmtId="168" fontId="5" fillId="0" borderId="0" xfId="15" applyNumberFormat="1" applyFont="1" applyFill="1" applyAlignment="1">
      <alignment horizontal="right"/>
    </xf>
    <xf numFmtId="191" fontId="5" fillId="0" borderId="0" xfId="15" applyNumberFormat="1" applyFont="1" applyFill="1" applyAlignment="1">
      <alignment horizontal="right"/>
    </xf>
    <xf numFmtId="43" fontId="5" fillId="0" borderId="0" xfId="15" applyNumberFormat="1" applyFont="1" applyFill="1" applyAlignment="1">
      <alignment horizontal="right"/>
    </xf>
    <xf numFmtId="167" fontId="5" fillId="0" borderId="0" xfId="15" applyNumberFormat="1" applyFont="1" applyFill="1" applyBorder="1" applyAlignment="1">
      <alignment horizontal="right"/>
    </xf>
    <xf numFmtId="167" fontId="8" fillId="0" borderId="3" xfId="15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67" fontId="13" fillId="0" borderId="0" xfId="15" applyNumberFormat="1" applyFont="1" applyFill="1" applyAlignment="1">
      <alignment/>
    </xf>
    <xf numFmtId="175" fontId="13" fillId="0" borderId="0" xfId="21" applyNumberFormat="1" applyFont="1" applyFill="1" applyAlignment="1">
      <alignment/>
    </xf>
    <xf numFmtId="167" fontId="13" fillId="0" borderId="0" xfId="15" applyNumberFormat="1" applyFont="1" applyFill="1" applyAlignment="1">
      <alignment horizontal="right"/>
    </xf>
    <xf numFmtId="10" fontId="13" fillId="0" borderId="0" xfId="21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167" fontId="13" fillId="0" borderId="0" xfId="15" applyNumberFormat="1" applyFont="1" applyFill="1" applyBorder="1" applyAlignment="1">
      <alignment/>
    </xf>
    <xf numFmtId="43" fontId="21" fillId="0" borderId="0" xfId="15" applyNumberFormat="1" applyFont="1" applyFill="1" applyAlignment="1">
      <alignment horizontal="right"/>
    </xf>
    <xf numFmtId="9" fontId="13" fillId="0" borderId="0" xfId="21" applyFont="1" applyFill="1" applyAlignment="1">
      <alignment/>
    </xf>
    <xf numFmtId="43" fontId="21" fillId="0" borderId="0" xfId="0" applyNumberFormat="1" applyFont="1" applyFill="1" applyAlignment="1">
      <alignment/>
    </xf>
    <xf numFmtId="167" fontId="12" fillId="0" borderId="0" xfId="15" applyNumberFormat="1" applyFont="1" applyAlignment="1">
      <alignment horizontal="right"/>
    </xf>
    <xf numFmtId="0" fontId="11" fillId="0" borderId="0" xfId="0" applyFont="1" applyFill="1" applyAlignment="1">
      <alignment horizontal="left" wrapText="1"/>
    </xf>
    <xf numFmtId="0" fontId="5" fillId="0" borderId="0" xfId="21" applyNumberFormat="1" applyFont="1" applyFill="1" applyAlignment="1">
      <alignment horizontal="center"/>
    </xf>
    <xf numFmtId="0" fontId="5" fillId="0" borderId="0" xfId="21" applyNumberFormat="1" applyFont="1" applyFill="1" applyAlignment="1">
      <alignment horizontal="center" vertical="top"/>
    </xf>
    <xf numFmtId="0" fontId="5" fillId="0" borderId="1" xfId="21" applyNumberFormat="1" applyFont="1" applyFill="1" applyBorder="1" applyAlignment="1">
      <alignment horizontal="center"/>
    </xf>
    <xf numFmtId="167" fontId="8" fillId="0" borderId="1" xfId="15" applyNumberFormat="1" applyFont="1" applyBorder="1" applyAlignment="1">
      <alignment horizontal="center"/>
    </xf>
    <xf numFmtId="172" fontId="12" fillId="0" borderId="4" xfId="0" applyNumberFormat="1" applyFont="1" applyBorder="1" applyAlignment="1">
      <alignment horizontal="center"/>
    </xf>
    <xf numFmtId="172" fontId="12" fillId="0" borderId="5" xfId="0" applyNumberFormat="1" applyFont="1" applyBorder="1" applyAlignment="1">
      <alignment horizontal="center"/>
    </xf>
    <xf numFmtId="172" fontId="12" fillId="0" borderId="6" xfId="0" applyNumberFormat="1" applyFont="1" applyBorder="1" applyAlignment="1">
      <alignment horizontal="center"/>
    </xf>
    <xf numFmtId="169" fontId="1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172" fontId="12" fillId="0" borderId="4" xfId="0" applyNumberFormat="1" applyFont="1" applyFill="1" applyBorder="1" applyAlignment="1">
      <alignment horizontal="center"/>
    </xf>
    <xf numFmtId="172" fontId="12" fillId="0" borderId="5" xfId="0" applyNumberFormat="1" applyFont="1" applyFill="1" applyBorder="1" applyAlignment="1">
      <alignment horizontal="center"/>
    </xf>
    <xf numFmtId="172" fontId="12" fillId="0" borderId="6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sheetData>
    <row r="1" ht="12.75">
      <c r="A1" s="1" t="s">
        <v>256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0"/>
  <sheetViews>
    <sheetView tabSelected="1" view="pageBreakPreview" zoomScale="60" zoomScaleNormal="75" workbookViewId="0" topLeftCell="A1">
      <selection activeCell="N29" sqref="N29"/>
    </sheetView>
  </sheetViews>
  <sheetFormatPr defaultColWidth="9.140625" defaultRowHeight="12.75"/>
  <cols>
    <col min="1" max="1" width="5.7109375" style="41" customWidth="1"/>
    <col min="2" max="2" width="48.8515625" style="47" customWidth="1"/>
    <col min="3" max="3" width="6.8515625" style="46" bestFit="1" customWidth="1"/>
    <col min="4" max="4" width="20.8515625" style="45" bestFit="1" customWidth="1"/>
    <col min="5" max="5" width="14.8515625" style="45" bestFit="1" customWidth="1"/>
    <col min="6" max="6" width="12.00390625" style="47" bestFit="1" customWidth="1"/>
    <col min="7" max="7" width="12.421875" style="112" customWidth="1"/>
    <col min="8" max="8" width="39.57421875" style="65" customWidth="1"/>
    <col min="9" max="9" width="5.7109375" style="20" customWidth="1"/>
    <col min="10" max="10" width="47.7109375" style="20" customWidth="1"/>
    <col min="11" max="11" width="8.7109375" style="20" customWidth="1"/>
    <col min="12" max="12" width="22.57421875" style="20" customWidth="1"/>
    <col min="13" max="13" width="17.140625" style="20" customWidth="1"/>
    <col min="14" max="14" width="15.7109375" style="20" customWidth="1"/>
    <col min="15" max="15" width="16.00390625" style="20" customWidth="1"/>
    <col min="16" max="16" width="36.28125" style="20" customWidth="1"/>
    <col min="17" max="17" width="5.140625" style="20" customWidth="1"/>
    <col min="18" max="18" width="58.421875" style="20" customWidth="1"/>
    <col min="19" max="19" width="12.140625" style="20" customWidth="1"/>
    <col min="20" max="20" width="25.00390625" style="33" customWidth="1"/>
    <col min="21" max="21" width="15.00390625" style="33" customWidth="1"/>
    <col min="22" max="22" width="8.8515625" style="33" customWidth="1"/>
    <col min="23" max="23" width="6.8515625" style="20" customWidth="1"/>
    <col min="24" max="24" width="53.421875" style="20" bestFit="1" customWidth="1"/>
    <col min="25" max="25" width="12.7109375" style="35" bestFit="1" customWidth="1"/>
    <col min="26" max="26" width="19.7109375" style="20" bestFit="1" customWidth="1"/>
    <col min="27" max="27" width="13.140625" style="20" bestFit="1" customWidth="1"/>
    <col min="28" max="28" width="16.8515625" style="20" bestFit="1" customWidth="1"/>
    <col min="29" max="29" width="14.00390625" style="20" bestFit="1" customWidth="1"/>
    <col min="30" max="16384" width="9.140625" style="20" customWidth="1"/>
  </cols>
  <sheetData>
    <row r="1" spans="1:29" ht="20.25" customHeight="1" thickBot="1">
      <c r="A1" s="6" t="s">
        <v>251</v>
      </c>
      <c r="B1" s="7"/>
      <c r="C1" s="8"/>
      <c r="D1" s="8"/>
      <c r="E1" s="8"/>
      <c r="F1" s="7"/>
      <c r="G1" s="9"/>
      <c r="H1" s="10"/>
      <c r="I1" s="6" t="s">
        <v>252</v>
      </c>
      <c r="J1" s="11"/>
      <c r="K1" s="12"/>
      <c r="L1" s="13"/>
      <c r="M1" s="13"/>
      <c r="N1" s="14"/>
      <c r="O1" s="15"/>
      <c r="P1" s="16"/>
      <c r="Q1" s="6" t="s">
        <v>253</v>
      </c>
      <c r="R1" s="17"/>
      <c r="S1" s="17"/>
      <c r="T1" s="18"/>
      <c r="U1" s="18"/>
      <c r="V1" s="19"/>
      <c r="W1" s="6" t="s">
        <v>254</v>
      </c>
      <c r="X1" s="10"/>
      <c r="Y1" s="16"/>
      <c r="Z1" s="10"/>
      <c r="AA1" s="10"/>
      <c r="AB1" s="10"/>
      <c r="AC1" s="10"/>
    </row>
    <row r="2" spans="1:28" ht="20.25">
      <c r="A2" s="21"/>
      <c r="B2" s="22"/>
      <c r="C2" s="23"/>
      <c r="D2" s="24"/>
      <c r="E2" s="24"/>
      <c r="F2" s="22"/>
      <c r="G2" s="25"/>
      <c r="H2" s="26"/>
      <c r="I2" s="27"/>
      <c r="J2" s="28"/>
      <c r="K2" s="29"/>
      <c r="L2" s="30"/>
      <c r="M2" s="30"/>
      <c r="N2" s="31"/>
      <c r="O2" s="32"/>
      <c r="P2" s="26"/>
      <c r="W2" s="34"/>
      <c r="Z2" s="33"/>
      <c r="AA2" s="33"/>
      <c r="AB2" s="33"/>
    </row>
    <row r="3" spans="1:29" s="43" customFormat="1" ht="20.25">
      <c r="A3" s="36"/>
      <c r="B3" s="37"/>
      <c r="C3" s="38"/>
      <c r="D3" s="39"/>
      <c r="E3" s="39" t="s">
        <v>67</v>
      </c>
      <c r="F3" s="38"/>
      <c r="G3" s="38"/>
      <c r="H3" s="40"/>
      <c r="I3" s="41"/>
      <c r="J3" s="42"/>
      <c r="K3" s="29"/>
      <c r="L3" s="39" t="s">
        <v>67</v>
      </c>
      <c r="M3" s="30"/>
      <c r="N3" s="31"/>
      <c r="O3" s="32"/>
      <c r="P3" s="26"/>
      <c r="T3" s="39" t="s">
        <v>64</v>
      </c>
      <c r="W3" s="37"/>
      <c r="Z3" s="39" t="s">
        <v>65</v>
      </c>
      <c r="AA3" s="38"/>
      <c r="AB3" s="38"/>
      <c r="AC3" s="39">
        <v>2005</v>
      </c>
    </row>
    <row r="4" spans="1:33" s="43" customFormat="1" ht="20.25">
      <c r="A4" s="36"/>
      <c r="B4" s="37"/>
      <c r="D4" s="39" t="s">
        <v>64</v>
      </c>
      <c r="E4" s="39" t="s">
        <v>68</v>
      </c>
      <c r="F4" s="44" t="s">
        <v>96</v>
      </c>
      <c r="G4" s="44" t="s">
        <v>5</v>
      </c>
      <c r="H4" s="38"/>
      <c r="I4" s="41"/>
      <c r="J4" s="42"/>
      <c r="K4" s="38"/>
      <c r="L4" s="39" t="s">
        <v>68</v>
      </c>
      <c r="M4" s="45"/>
      <c r="N4" s="40"/>
      <c r="O4" s="44" t="s">
        <v>5</v>
      </c>
      <c r="P4" s="40"/>
      <c r="T4" s="39" t="s">
        <v>65</v>
      </c>
      <c r="U4" s="44" t="s">
        <v>2</v>
      </c>
      <c r="V4" s="44"/>
      <c r="W4" s="37"/>
      <c r="Z4" s="39" t="s">
        <v>74</v>
      </c>
      <c r="AA4" s="44" t="s">
        <v>2</v>
      </c>
      <c r="AB4" s="44">
        <v>2005</v>
      </c>
      <c r="AC4" s="39" t="s">
        <v>39</v>
      </c>
      <c r="AD4" s="20"/>
      <c r="AE4" s="20"/>
      <c r="AF4" s="20"/>
      <c r="AG4" s="20"/>
    </row>
    <row r="5" spans="1:33" s="43" customFormat="1" ht="20.25">
      <c r="A5" s="36"/>
      <c r="B5" s="37"/>
      <c r="D5" s="39" t="s">
        <v>65</v>
      </c>
      <c r="E5" s="39" t="s">
        <v>2</v>
      </c>
      <c r="F5" s="44" t="s">
        <v>2</v>
      </c>
      <c r="G5" s="44" t="s">
        <v>83</v>
      </c>
      <c r="H5" s="44" t="s">
        <v>84</v>
      </c>
      <c r="I5" s="41"/>
      <c r="J5" s="20"/>
      <c r="K5" s="46"/>
      <c r="L5" s="39" t="s">
        <v>2</v>
      </c>
      <c r="M5" s="44">
        <v>2005</v>
      </c>
      <c r="N5" s="44" t="s">
        <v>2</v>
      </c>
      <c r="O5" s="44" t="s">
        <v>83</v>
      </c>
      <c r="P5" s="44" t="s">
        <v>84</v>
      </c>
      <c r="R5" s="38"/>
      <c r="S5" s="39" t="s">
        <v>72</v>
      </c>
      <c r="T5" s="39" t="s">
        <v>66</v>
      </c>
      <c r="U5" s="44" t="s">
        <v>3</v>
      </c>
      <c r="V5" s="44"/>
      <c r="W5" s="37"/>
      <c r="Y5" s="39" t="s">
        <v>72</v>
      </c>
      <c r="Z5" s="39" t="s">
        <v>75</v>
      </c>
      <c r="AA5" s="44" t="s">
        <v>3</v>
      </c>
      <c r="AB5" s="44" t="s">
        <v>73</v>
      </c>
      <c r="AC5" s="44" t="s">
        <v>95</v>
      </c>
      <c r="AD5" s="20"/>
      <c r="AE5" s="20"/>
      <c r="AF5" s="20"/>
      <c r="AG5" s="20"/>
    </row>
    <row r="6" spans="1:29" s="43" customFormat="1" ht="21" thickBot="1">
      <c r="A6" s="36"/>
      <c r="B6" s="37"/>
      <c r="C6" s="39" t="s">
        <v>72</v>
      </c>
      <c r="D6" s="39" t="s">
        <v>66</v>
      </c>
      <c r="E6" s="39" t="s">
        <v>69</v>
      </c>
      <c r="F6" s="44" t="s">
        <v>3</v>
      </c>
      <c r="G6" s="44" t="s">
        <v>71</v>
      </c>
      <c r="H6" s="44" t="s">
        <v>6</v>
      </c>
      <c r="I6" s="41"/>
      <c r="J6" s="47"/>
      <c r="K6" s="39" t="s">
        <v>72</v>
      </c>
      <c r="L6" s="39" t="s">
        <v>69</v>
      </c>
      <c r="M6" s="44" t="s">
        <v>73</v>
      </c>
      <c r="N6" s="44" t="s">
        <v>3</v>
      </c>
      <c r="O6" s="44" t="s">
        <v>71</v>
      </c>
      <c r="P6" s="44" t="s">
        <v>6</v>
      </c>
      <c r="Q6" s="48"/>
      <c r="R6" s="49"/>
      <c r="S6" s="50" t="s">
        <v>9</v>
      </c>
      <c r="T6" s="50" t="s">
        <v>49</v>
      </c>
      <c r="U6" s="50" t="s">
        <v>97</v>
      </c>
      <c r="V6" s="44"/>
      <c r="W6" s="48" t="s">
        <v>215</v>
      </c>
      <c r="X6" s="51"/>
      <c r="Y6" s="50" t="s">
        <v>9</v>
      </c>
      <c r="Z6" s="50" t="s">
        <v>49</v>
      </c>
      <c r="AA6" s="50" t="s">
        <v>97</v>
      </c>
      <c r="AB6" s="50" t="s">
        <v>97</v>
      </c>
      <c r="AC6" s="50" t="s">
        <v>97</v>
      </c>
    </row>
    <row r="7" spans="1:25" s="43" customFormat="1" ht="21" thickBot="1">
      <c r="A7" s="52"/>
      <c r="B7" s="52"/>
      <c r="C7" s="50" t="s">
        <v>9</v>
      </c>
      <c r="D7" s="50" t="s">
        <v>49</v>
      </c>
      <c r="E7" s="50" t="s">
        <v>49</v>
      </c>
      <c r="F7" s="50" t="s">
        <v>97</v>
      </c>
      <c r="G7" s="50" t="s">
        <v>97</v>
      </c>
      <c r="H7" s="50" t="s">
        <v>257</v>
      </c>
      <c r="I7" s="53"/>
      <c r="J7" s="54"/>
      <c r="K7" s="50" t="s">
        <v>9</v>
      </c>
      <c r="L7" s="50" t="s">
        <v>49</v>
      </c>
      <c r="M7" s="50" t="s">
        <v>97</v>
      </c>
      <c r="N7" s="50" t="s">
        <v>97</v>
      </c>
      <c r="O7" s="50" t="s">
        <v>97</v>
      </c>
      <c r="P7" s="50" t="s">
        <v>258</v>
      </c>
      <c r="Q7" s="20"/>
      <c r="R7" s="20"/>
      <c r="S7" s="20"/>
      <c r="T7" s="55"/>
      <c r="U7" s="55"/>
      <c r="V7" s="55"/>
      <c r="W7" s="34"/>
      <c r="X7" s="20"/>
      <c r="Y7" s="35"/>
    </row>
    <row r="8" spans="3:33" ht="20.25">
      <c r="C8" s="23"/>
      <c r="D8" s="24"/>
      <c r="E8" s="24"/>
      <c r="F8" s="56"/>
      <c r="G8" s="25"/>
      <c r="H8" s="26"/>
      <c r="I8" s="57"/>
      <c r="J8" s="22"/>
      <c r="K8" s="38"/>
      <c r="L8" s="44"/>
      <c r="M8" s="58"/>
      <c r="N8" s="58"/>
      <c r="O8" s="58"/>
      <c r="P8" s="44"/>
      <c r="Q8" s="59">
        <v>1</v>
      </c>
      <c r="R8" s="60" t="s">
        <v>130</v>
      </c>
      <c r="S8" s="26">
        <v>1360</v>
      </c>
      <c r="T8" s="61">
        <v>98.5</v>
      </c>
      <c r="U8" s="62">
        <v>1270</v>
      </c>
      <c r="V8" s="63"/>
      <c r="W8" s="64">
        <v>1</v>
      </c>
      <c r="X8" s="2" t="s">
        <v>259</v>
      </c>
      <c r="Y8" s="3">
        <v>1628</v>
      </c>
      <c r="Z8" s="65">
        <v>69.7</v>
      </c>
      <c r="AA8" s="62">
        <v>4.65</v>
      </c>
      <c r="AB8" s="66">
        <v>0</v>
      </c>
      <c r="AC8" s="66">
        <v>0.6606301369863014</v>
      </c>
      <c r="AD8" s="43"/>
      <c r="AE8" s="43"/>
      <c r="AF8" s="43"/>
      <c r="AG8" s="43"/>
    </row>
    <row r="9" spans="1:33" s="77" customFormat="1" ht="20.25">
      <c r="A9" s="67">
        <v>1</v>
      </c>
      <c r="B9" s="68" t="s">
        <v>260</v>
      </c>
      <c r="C9" s="65">
        <v>1108</v>
      </c>
      <c r="D9" s="61">
        <v>98.4</v>
      </c>
      <c r="E9" s="416">
        <v>98.4</v>
      </c>
      <c r="F9" s="69">
        <v>466</v>
      </c>
      <c r="G9" s="69">
        <v>67.3</v>
      </c>
      <c r="H9" s="70" t="s">
        <v>209</v>
      </c>
      <c r="I9" s="67">
        <v>1</v>
      </c>
      <c r="J9" s="71" t="s">
        <v>112</v>
      </c>
      <c r="K9" s="65">
        <v>1417</v>
      </c>
      <c r="L9" s="65">
        <v>69.7</v>
      </c>
      <c r="M9" s="72">
        <f>136.3/365</f>
        <v>0.3734246575342466</v>
      </c>
      <c r="N9" s="73">
        <v>1.4</v>
      </c>
      <c r="O9" s="74">
        <v>1.3</v>
      </c>
      <c r="P9" s="65"/>
      <c r="Q9" s="67">
        <v>2</v>
      </c>
      <c r="R9" s="60" t="s">
        <v>21</v>
      </c>
      <c r="S9" s="26">
        <v>1045</v>
      </c>
      <c r="T9" s="65">
        <v>89.7</v>
      </c>
      <c r="U9" s="62">
        <v>10</v>
      </c>
      <c r="V9" s="63"/>
      <c r="W9" s="64">
        <v>2</v>
      </c>
      <c r="X9" s="2" t="s">
        <v>10</v>
      </c>
      <c r="Y9" s="3">
        <v>1975</v>
      </c>
      <c r="Z9" s="65">
        <v>95.9</v>
      </c>
      <c r="AA9" s="75">
        <v>25</v>
      </c>
      <c r="AB9" s="66">
        <v>0.28227397260273973</v>
      </c>
      <c r="AC9" s="66">
        <v>16.581616438356164</v>
      </c>
      <c r="AD9" s="76"/>
      <c r="AE9" s="76"/>
      <c r="AF9" s="76"/>
      <c r="AG9" s="76"/>
    </row>
    <row r="10" spans="1:33" s="77" customFormat="1" ht="15.75" customHeight="1">
      <c r="A10" s="67">
        <v>2</v>
      </c>
      <c r="B10" s="68" t="s">
        <v>175</v>
      </c>
      <c r="C10" s="65">
        <v>1121</v>
      </c>
      <c r="D10" s="61">
        <v>93.5</v>
      </c>
      <c r="E10" s="416">
        <v>95.9</v>
      </c>
      <c r="F10" s="69">
        <v>49.8</v>
      </c>
      <c r="G10" s="69">
        <v>38.1654794520548</v>
      </c>
      <c r="H10" s="65"/>
      <c r="I10" s="67">
        <v>2</v>
      </c>
      <c r="J10" s="71" t="s">
        <v>113</v>
      </c>
      <c r="K10" s="65">
        <v>1114</v>
      </c>
      <c r="L10" s="65">
        <v>69.7</v>
      </c>
      <c r="M10" s="72">
        <f>171.3/365</f>
        <v>0.4693150684931507</v>
      </c>
      <c r="N10" s="72">
        <v>2</v>
      </c>
      <c r="O10" s="74">
        <v>1</v>
      </c>
      <c r="P10" s="78" t="s">
        <v>168</v>
      </c>
      <c r="Q10" s="67">
        <v>3</v>
      </c>
      <c r="R10" s="60" t="s">
        <v>22</v>
      </c>
      <c r="S10" s="26">
        <v>1482</v>
      </c>
      <c r="T10" s="61">
        <v>98.4</v>
      </c>
      <c r="U10" s="62">
        <v>500</v>
      </c>
      <c r="V10" s="63"/>
      <c r="W10" s="64">
        <v>3</v>
      </c>
      <c r="X10" s="2" t="s">
        <v>261</v>
      </c>
      <c r="Y10" s="3">
        <v>1357</v>
      </c>
      <c r="Z10" s="65">
        <v>98.2</v>
      </c>
      <c r="AA10" s="75">
        <v>64</v>
      </c>
      <c r="AB10" s="66">
        <v>0.269041095890411</v>
      </c>
      <c r="AC10" s="66">
        <v>41.48164383561644</v>
      </c>
      <c r="AD10" s="76"/>
      <c r="AE10" s="76"/>
      <c r="AF10" s="76"/>
      <c r="AG10" s="76"/>
    </row>
    <row r="11" spans="1:33" s="77" customFormat="1" ht="15.75" customHeight="1">
      <c r="A11" s="67">
        <v>3</v>
      </c>
      <c r="B11" s="79" t="s">
        <v>60</v>
      </c>
      <c r="C11" s="80">
        <v>1131</v>
      </c>
      <c r="D11" s="81">
        <v>96.5</v>
      </c>
      <c r="E11" s="417">
        <v>98.4</v>
      </c>
      <c r="F11" s="82">
        <v>560</v>
      </c>
      <c r="G11" s="82">
        <v>412.4306849315068</v>
      </c>
      <c r="H11" s="65"/>
      <c r="I11" s="67">
        <v>3</v>
      </c>
      <c r="J11" s="71" t="s">
        <v>262</v>
      </c>
      <c r="K11" s="65">
        <v>1280</v>
      </c>
      <c r="L11" s="65">
        <v>89.7</v>
      </c>
      <c r="M11" s="72">
        <f>41.43/365</f>
        <v>0.11350684931506849</v>
      </c>
      <c r="N11" s="73">
        <v>5.77</v>
      </c>
      <c r="O11" s="74">
        <v>3.838986301369863</v>
      </c>
      <c r="P11" s="83" t="s">
        <v>211</v>
      </c>
      <c r="Q11" s="67">
        <v>4</v>
      </c>
      <c r="R11" s="60" t="s">
        <v>86</v>
      </c>
      <c r="S11" s="26">
        <v>1458</v>
      </c>
      <c r="T11" s="61">
        <v>98.4</v>
      </c>
      <c r="U11" s="62">
        <v>520</v>
      </c>
      <c r="V11" s="63"/>
      <c r="W11" s="64">
        <v>4</v>
      </c>
      <c r="X11" s="2" t="s">
        <v>127</v>
      </c>
      <c r="Y11" s="3">
        <v>1880</v>
      </c>
      <c r="Z11" s="65">
        <v>95.9</v>
      </c>
      <c r="AA11" s="75">
        <v>19.21</v>
      </c>
      <c r="AB11" s="66">
        <v>0</v>
      </c>
      <c r="AC11" s="66">
        <v>9.539452054794522</v>
      </c>
      <c r="AD11" s="76"/>
      <c r="AE11" s="76"/>
      <c r="AF11" s="76"/>
      <c r="AG11" s="76"/>
    </row>
    <row r="12" spans="1:29" s="77" customFormat="1" ht="15.75" customHeight="1">
      <c r="A12" s="67">
        <v>4</v>
      </c>
      <c r="B12" s="79" t="s">
        <v>105</v>
      </c>
      <c r="C12" s="80">
        <v>1374</v>
      </c>
      <c r="D12" s="81">
        <v>69.7</v>
      </c>
      <c r="E12" s="417">
        <v>69.7</v>
      </c>
      <c r="F12" s="82">
        <v>5</v>
      </c>
      <c r="G12" s="82">
        <v>5.029863013698631</v>
      </c>
      <c r="H12" s="84" t="s">
        <v>158</v>
      </c>
      <c r="I12" s="67">
        <v>4</v>
      </c>
      <c r="J12" s="71" t="s">
        <v>114</v>
      </c>
      <c r="K12" s="65">
        <v>1293</v>
      </c>
      <c r="L12" s="65">
        <v>69.7</v>
      </c>
      <c r="M12" s="72">
        <f>14.93/365</f>
        <v>0.040904109589041095</v>
      </c>
      <c r="N12" s="73">
        <v>1.46</v>
      </c>
      <c r="O12" s="74">
        <v>1</v>
      </c>
      <c r="P12" s="67"/>
      <c r="Q12" s="67">
        <v>5</v>
      </c>
      <c r="R12" s="60" t="s">
        <v>131</v>
      </c>
      <c r="S12" s="26">
        <v>1638</v>
      </c>
      <c r="T12" s="61">
        <v>69.7</v>
      </c>
      <c r="U12" s="62" t="s">
        <v>169</v>
      </c>
      <c r="V12" s="63"/>
      <c r="W12" s="64">
        <v>5</v>
      </c>
      <c r="X12" s="85" t="s">
        <v>263</v>
      </c>
      <c r="Y12" s="3">
        <v>1738</v>
      </c>
      <c r="Z12" s="65">
        <v>95.9</v>
      </c>
      <c r="AA12" s="75">
        <v>34.4</v>
      </c>
      <c r="AB12" s="66">
        <v>0.012602739726027396</v>
      </c>
      <c r="AC12" s="66">
        <v>2.466027397260274</v>
      </c>
    </row>
    <row r="13" spans="1:29" s="77" customFormat="1" ht="15.75" customHeight="1">
      <c r="A13" s="67">
        <v>5</v>
      </c>
      <c r="B13" s="79" t="s">
        <v>106</v>
      </c>
      <c r="C13" s="80">
        <v>1104</v>
      </c>
      <c r="D13" s="81">
        <v>85</v>
      </c>
      <c r="E13" s="417">
        <v>89.7</v>
      </c>
      <c r="F13" s="82">
        <v>9.83</v>
      </c>
      <c r="G13" s="82">
        <v>6.781808219178081</v>
      </c>
      <c r="H13" s="84" t="s">
        <v>158</v>
      </c>
      <c r="I13" s="67">
        <v>5</v>
      </c>
      <c r="J13" s="71" t="s">
        <v>195</v>
      </c>
      <c r="K13" s="65">
        <v>1138</v>
      </c>
      <c r="L13" s="65">
        <v>69.7</v>
      </c>
      <c r="M13" s="72">
        <v>0.69</v>
      </c>
      <c r="N13" s="73">
        <v>2.96</v>
      </c>
      <c r="O13" s="74">
        <v>1.761369863013699</v>
      </c>
      <c r="P13" s="67"/>
      <c r="Q13" s="67">
        <v>6</v>
      </c>
      <c r="R13" s="60" t="s">
        <v>23</v>
      </c>
      <c r="S13" s="26">
        <v>1662</v>
      </c>
      <c r="T13" s="61">
        <v>99.5</v>
      </c>
      <c r="U13" s="62">
        <v>5450</v>
      </c>
      <c r="V13" s="63"/>
      <c r="W13" s="64">
        <v>6</v>
      </c>
      <c r="X13" s="2" t="s">
        <v>11</v>
      </c>
      <c r="Y13" s="3">
        <v>1169</v>
      </c>
      <c r="Z13" s="65">
        <v>89.7</v>
      </c>
      <c r="AA13" s="75">
        <v>9.9</v>
      </c>
      <c r="AB13" s="66">
        <v>0</v>
      </c>
      <c r="AC13" s="66">
        <v>0.3454794520547945</v>
      </c>
    </row>
    <row r="14" spans="1:29" s="77" customFormat="1" ht="15.75" customHeight="1">
      <c r="A14" s="67">
        <v>6</v>
      </c>
      <c r="B14" s="79" t="s">
        <v>76</v>
      </c>
      <c r="C14" s="80">
        <v>1020</v>
      </c>
      <c r="D14" s="81">
        <v>90</v>
      </c>
      <c r="E14" s="417">
        <v>98.2</v>
      </c>
      <c r="F14" s="86" t="s">
        <v>63</v>
      </c>
      <c r="G14" s="82">
        <v>9.51468493150685</v>
      </c>
      <c r="H14" s="65"/>
      <c r="I14" s="67">
        <v>6</v>
      </c>
      <c r="J14" s="71" t="s">
        <v>115</v>
      </c>
      <c r="K14" s="65">
        <v>1124</v>
      </c>
      <c r="L14" s="65">
        <v>69.7</v>
      </c>
      <c r="M14" s="72"/>
      <c r="N14" s="73">
        <v>2.48</v>
      </c>
      <c r="O14" s="74">
        <v>1</v>
      </c>
      <c r="P14" s="83" t="s">
        <v>160</v>
      </c>
      <c r="Q14" s="67">
        <v>7</v>
      </c>
      <c r="R14" s="60" t="s">
        <v>24</v>
      </c>
      <c r="S14" s="26">
        <v>1079</v>
      </c>
      <c r="T14" s="61">
        <v>98.4</v>
      </c>
      <c r="U14" s="62">
        <v>863.82</v>
      </c>
      <c r="V14" s="63"/>
      <c r="W14" s="64">
        <v>7</v>
      </c>
      <c r="X14" s="2" t="s">
        <v>128</v>
      </c>
      <c r="Y14" s="3">
        <v>1775</v>
      </c>
      <c r="Z14" s="65">
        <v>95.9</v>
      </c>
      <c r="AA14" s="75">
        <v>17.2</v>
      </c>
      <c r="AB14" s="66">
        <v>0.0035616438356164386</v>
      </c>
      <c r="AC14" s="66">
        <v>0.8904109589041096</v>
      </c>
    </row>
    <row r="15" spans="1:29" s="77" customFormat="1" ht="15.75" customHeight="1">
      <c r="A15" s="67">
        <v>7</v>
      </c>
      <c r="B15" s="79" t="s">
        <v>107</v>
      </c>
      <c r="C15" s="80">
        <v>1050</v>
      </c>
      <c r="D15" s="81">
        <v>98</v>
      </c>
      <c r="E15" s="417">
        <v>98.5</v>
      </c>
      <c r="F15" s="82">
        <v>1730.1</v>
      </c>
      <c r="G15" s="82">
        <v>414.6427397260274</v>
      </c>
      <c r="H15" s="65"/>
      <c r="I15" s="67">
        <v>7</v>
      </c>
      <c r="J15" s="71" t="s">
        <v>210</v>
      </c>
      <c r="K15" s="65">
        <v>1202</v>
      </c>
      <c r="L15" s="65">
        <v>69.7</v>
      </c>
      <c r="M15" s="72">
        <f>271.9/365</f>
        <v>0.744931506849315</v>
      </c>
      <c r="N15" s="73">
        <v>2.2</v>
      </c>
      <c r="O15" s="74">
        <v>1.1</v>
      </c>
      <c r="P15" s="67"/>
      <c r="Q15" s="67">
        <v>8</v>
      </c>
      <c r="R15" s="60" t="s">
        <v>77</v>
      </c>
      <c r="S15" s="26">
        <v>1021</v>
      </c>
      <c r="T15" s="61">
        <v>98.4</v>
      </c>
      <c r="U15" s="62">
        <v>404.9</v>
      </c>
      <c r="V15" s="63"/>
      <c r="W15" s="64">
        <v>8</v>
      </c>
      <c r="X15" s="2" t="s">
        <v>12</v>
      </c>
      <c r="Y15" s="3">
        <v>1690</v>
      </c>
      <c r="Z15" s="65">
        <v>89.7</v>
      </c>
      <c r="AA15" s="75">
        <v>7.54</v>
      </c>
      <c r="AB15" s="66">
        <v>0.004712328767123288</v>
      </c>
      <c r="AC15" s="66">
        <v>2.194356164383562</v>
      </c>
    </row>
    <row r="16" spans="1:29" s="77" customFormat="1" ht="15.75" customHeight="1">
      <c r="A16" s="67">
        <v>8</v>
      </c>
      <c r="B16" s="68" t="s">
        <v>53</v>
      </c>
      <c r="C16" s="65">
        <v>1084</v>
      </c>
      <c r="D16" s="61">
        <v>98.4</v>
      </c>
      <c r="E16" s="416">
        <v>98.4</v>
      </c>
      <c r="F16" s="69">
        <v>350</v>
      </c>
      <c r="G16" s="69">
        <v>220.8551506849315</v>
      </c>
      <c r="H16" s="70" t="s">
        <v>174</v>
      </c>
      <c r="I16" s="67">
        <v>8</v>
      </c>
      <c r="J16" s="71" t="s">
        <v>116</v>
      </c>
      <c r="K16" s="65">
        <v>1024</v>
      </c>
      <c r="L16" s="65">
        <v>69.7</v>
      </c>
      <c r="M16" s="72">
        <f>136.6/365</f>
        <v>0.37424657534246575</v>
      </c>
      <c r="N16" s="73">
        <v>1.9</v>
      </c>
      <c r="O16" s="74">
        <v>1</v>
      </c>
      <c r="P16" s="67"/>
      <c r="Q16" s="67">
        <v>9</v>
      </c>
      <c r="R16" s="60" t="s">
        <v>233</v>
      </c>
      <c r="S16" s="26">
        <v>1060</v>
      </c>
      <c r="T16" s="61">
        <v>98.6</v>
      </c>
      <c r="U16" s="62">
        <v>82.7</v>
      </c>
      <c r="V16" s="63"/>
      <c r="W16" s="64">
        <v>9</v>
      </c>
      <c r="X16" s="2" t="s">
        <v>78</v>
      </c>
      <c r="Y16" s="3">
        <v>1547</v>
      </c>
      <c r="Z16" s="65">
        <v>95.9</v>
      </c>
      <c r="AA16" s="75">
        <v>26.46</v>
      </c>
      <c r="AB16" s="66">
        <v>0.00410958904109589</v>
      </c>
      <c r="AC16" s="66">
        <v>2.317808219178082</v>
      </c>
    </row>
    <row r="17" spans="1:29" s="77" customFormat="1" ht="15.75" customHeight="1">
      <c r="A17" s="67">
        <v>9</v>
      </c>
      <c r="B17" s="79" t="s">
        <v>108</v>
      </c>
      <c r="C17" s="80">
        <v>1129</v>
      </c>
      <c r="D17" s="81">
        <v>97</v>
      </c>
      <c r="E17" s="417">
        <v>98.3</v>
      </c>
      <c r="F17" s="82">
        <v>100</v>
      </c>
      <c r="G17" s="82">
        <v>64.0827397260274</v>
      </c>
      <c r="H17" s="65"/>
      <c r="I17" s="67">
        <v>9</v>
      </c>
      <c r="J17" s="71" t="s">
        <v>117</v>
      </c>
      <c r="K17" s="65">
        <v>1062</v>
      </c>
      <c r="L17" s="65">
        <v>69.7</v>
      </c>
      <c r="M17" s="72">
        <f>129.43/365</f>
        <v>0.3546027397260274</v>
      </c>
      <c r="N17" s="73">
        <v>0.83</v>
      </c>
      <c r="O17" s="74">
        <v>1</v>
      </c>
      <c r="P17" s="83" t="s">
        <v>248</v>
      </c>
      <c r="Q17" s="67">
        <v>10</v>
      </c>
      <c r="R17" s="60" t="s">
        <v>25</v>
      </c>
      <c r="S17" s="26">
        <v>1585</v>
      </c>
      <c r="T17" s="61">
        <v>90</v>
      </c>
      <c r="U17" s="62">
        <v>9.9</v>
      </c>
      <c r="V17" s="63"/>
      <c r="W17" s="64">
        <v>10</v>
      </c>
      <c r="X17" s="2" t="s">
        <v>79</v>
      </c>
      <c r="Y17" s="3">
        <v>1668</v>
      </c>
      <c r="Z17" s="65">
        <v>98.2</v>
      </c>
      <c r="AA17" s="75">
        <v>54.31</v>
      </c>
      <c r="AB17" s="66">
        <v>0.03063013698630137</v>
      </c>
      <c r="AC17" s="66">
        <v>22.789315068493153</v>
      </c>
    </row>
    <row r="18" spans="1:29" s="77" customFormat="1" ht="15.75" customHeight="1">
      <c r="A18" s="67">
        <v>10</v>
      </c>
      <c r="B18" s="79" t="s">
        <v>50</v>
      </c>
      <c r="C18" s="80">
        <v>1037</v>
      </c>
      <c r="D18" s="81">
        <v>96.2</v>
      </c>
      <c r="E18" s="417">
        <v>98.4</v>
      </c>
      <c r="F18" s="82">
        <v>619</v>
      </c>
      <c r="G18" s="82">
        <v>472.057808219178</v>
      </c>
      <c r="H18" s="65"/>
      <c r="I18" s="67">
        <v>10</v>
      </c>
      <c r="J18" s="71" t="s">
        <v>139</v>
      </c>
      <c r="K18" s="65">
        <v>1039</v>
      </c>
      <c r="L18" s="65">
        <v>69.7</v>
      </c>
      <c r="M18" s="72">
        <f>164.9/365</f>
        <v>0.4517808219178082</v>
      </c>
      <c r="N18" s="73">
        <v>1.25</v>
      </c>
      <c r="O18" s="74">
        <v>1</v>
      </c>
      <c r="P18" s="67"/>
      <c r="Q18" s="67">
        <v>11</v>
      </c>
      <c r="R18" s="60" t="s">
        <v>177</v>
      </c>
      <c r="S18" s="26">
        <v>1004</v>
      </c>
      <c r="T18" s="61">
        <v>98.3</v>
      </c>
      <c r="U18" s="62">
        <v>150</v>
      </c>
      <c r="V18" s="63"/>
      <c r="W18" s="64">
        <v>11</v>
      </c>
      <c r="X18" s="2" t="s">
        <v>129</v>
      </c>
      <c r="Y18" s="3">
        <v>1244</v>
      </c>
      <c r="Z18" s="65">
        <v>69.7</v>
      </c>
      <c r="AA18" s="75">
        <v>2.5</v>
      </c>
      <c r="AB18" s="66">
        <v>0.01873972602739726</v>
      </c>
      <c r="AC18" s="66">
        <v>1.4187671232876713</v>
      </c>
    </row>
    <row r="19" spans="1:29" s="77" customFormat="1" ht="15.75" customHeight="1">
      <c r="A19" s="67">
        <v>11</v>
      </c>
      <c r="B19" s="79" t="s">
        <v>230</v>
      </c>
      <c r="C19" s="80">
        <v>1107</v>
      </c>
      <c r="D19" s="81">
        <v>98.4</v>
      </c>
      <c r="E19" s="417">
        <v>98.5</v>
      </c>
      <c r="F19" s="82">
        <v>1107.7</v>
      </c>
      <c r="G19" s="82">
        <v>540.5884931506849</v>
      </c>
      <c r="H19" s="65"/>
      <c r="I19" s="67">
        <v>11</v>
      </c>
      <c r="J19" s="71" t="s">
        <v>118</v>
      </c>
      <c r="K19" s="65">
        <v>1365</v>
      </c>
      <c r="L19" s="65">
        <v>69.7</v>
      </c>
      <c r="M19" s="72">
        <f>785.02/365</f>
        <v>2.150739726027397</v>
      </c>
      <c r="N19" s="73">
        <v>4.5</v>
      </c>
      <c r="O19" s="74">
        <v>4.036657534246576</v>
      </c>
      <c r="P19" s="67"/>
      <c r="Q19" s="67">
        <v>12</v>
      </c>
      <c r="R19" s="60" t="s">
        <v>26</v>
      </c>
      <c r="S19" s="26">
        <v>1002</v>
      </c>
      <c r="T19" s="61">
        <v>98.4</v>
      </c>
      <c r="U19" s="62">
        <v>300</v>
      </c>
      <c r="V19" s="63"/>
      <c r="W19" s="64">
        <v>12</v>
      </c>
      <c r="X19" s="2" t="s">
        <v>264</v>
      </c>
      <c r="Y19" s="3">
        <v>1676</v>
      </c>
      <c r="Z19" s="65">
        <v>95.9</v>
      </c>
      <c r="AA19" s="75">
        <v>15.54</v>
      </c>
      <c r="AB19" s="66">
        <v>0.014219178082191782</v>
      </c>
      <c r="AC19" s="66">
        <v>3.6619178082191777</v>
      </c>
    </row>
    <row r="20" spans="1:29" s="77" customFormat="1" ht="15.75" customHeight="1">
      <c r="A20" s="67">
        <v>12</v>
      </c>
      <c r="B20" s="79" t="s">
        <v>244</v>
      </c>
      <c r="C20" s="80">
        <v>1144</v>
      </c>
      <c r="D20" s="81">
        <v>98.1</v>
      </c>
      <c r="E20" s="417">
        <v>99.5</v>
      </c>
      <c r="F20" s="82">
        <v>3629.7</v>
      </c>
      <c r="G20" s="82">
        <v>1009.5915068493148</v>
      </c>
      <c r="H20" s="65"/>
      <c r="I20" s="67">
        <v>12</v>
      </c>
      <c r="J20" s="71" t="s">
        <v>119</v>
      </c>
      <c r="K20" s="65">
        <v>1127</v>
      </c>
      <c r="L20" s="65">
        <v>69.7</v>
      </c>
      <c r="M20" s="72">
        <f>327.3/365</f>
        <v>0.8967123287671234</v>
      </c>
      <c r="N20" s="73">
        <v>1</v>
      </c>
      <c r="O20" s="74">
        <v>1.3472520547945206</v>
      </c>
      <c r="P20" s="83"/>
      <c r="Q20" s="67">
        <v>13</v>
      </c>
      <c r="R20" s="60" t="s">
        <v>27</v>
      </c>
      <c r="S20" s="26">
        <v>1506</v>
      </c>
      <c r="T20" s="61">
        <v>96.5</v>
      </c>
      <c r="U20" s="62">
        <v>49.5</v>
      </c>
      <c r="V20" s="63"/>
      <c r="W20" s="64">
        <v>13</v>
      </c>
      <c r="X20" s="2" t="s">
        <v>13</v>
      </c>
      <c r="Y20" s="3">
        <v>1765</v>
      </c>
      <c r="Z20" s="65">
        <v>95.9</v>
      </c>
      <c r="AA20" s="75">
        <v>19.7</v>
      </c>
      <c r="AB20" s="66">
        <v>0.008493150684931507</v>
      </c>
      <c r="AC20" s="66">
        <v>0.7580821917808219</v>
      </c>
    </row>
    <row r="21" spans="1:29" s="77" customFormat="1" ht="18.75" customHeight="1">
      <c r="A21" s="67">
        <v>13</v>
      </c>
      <c r="B21" s="68" t="s">
        <v>61</v>
      </c>
      <c r="C21" s="65">
        <v>1139</v>
      </c>
      <c r="D21" s="61">
        <v>98</v>
      </c>
      <c r="E21" s="416">
        <v>98.3</v>
      </c>
      <c r="F21" s="69">
        <v>165.4</v>
      </c>
      <c r="G21" s="69">
        <v>129.48276712328766</v>
      </c>
      <c r="H21" s="65"/>
      <c r="I21" s="67">
        <v>13</v>
      </c>
      <c r="J21" s="71" t="s">
        <v>140</v>
      </c>
      <c r="K21" s="65">
        <v>1083</v>
      </c>
      <c r="L21" s="65"/>
      <c r="M21" s="72">
        <f>32.2/365</f>
        <v>0.08821917808219179</v>
      </c>
      <c r="N21" s="73">
        <v>0.53</v>
      </c>
      <c r="O21" s="74">
        <v>1</v>
      </c>
      <c r="P21" s="415" t="s">
        <v>250</v>
      </c>
      <c r="Q21" s="67">
        <v>14</v>
      </c>
      <c r="R21" s="60" t="s">
        <v>82</v>
      </c>
      <c r="S21" s="26">
        <v>1629</v>
      </c>
      <c r="T21" s="61">
        <v>69.7</v>
      </c>
      <c r="U21" s="62">
        <v>2.5</v>
      </c>
      <c r="V21" s="63"/>
      <c r="W21" s="64">
        <v>14</v>
      </c>
      <c r="X21" s="2" t="s">
        <v>265</v>
      </c>
      <c r="Y21" s="3">
        <v>1123</v>
      </c>
      <c r="Z21" s="65">
        <v>69.7</v>
      </c>
      <c r="AA21" s="75">
        <v>4.6</v>
      </c>
      <c r="AB21" s="66">
        <v>0</v>
      </c>
      <c r="AC21" s="66">
        <v>0.0997</v>
      </c>
    </row>
    <row r="22" spans="1:29" s="77" customFormat="1" ht="15.75" customHeight="1">
      <c r="A22" s="67">
        <v>14</v>
      </c>
      <c r="B22" s="79" t="s">
        <v>54</v>
      </c>
      <c r="C22" s="80">
        <v>1047</v>
      </c>
      <c r="D22" s="81">
        <v>95.6</v>
      </c>
      <c r="E22" s="417">
        <v>95.9</v>
      </c>
      <c r="F22" s="82">
        <v>49.17</v>
      </c>
      <c r="G22" s="82">
        <v>21.985342465753423</v>
      </c>
      <c r="H22" s="65"/>
      <c r="I22" s="67">
        <v>14</v>
      </c>
      <c r="J22" s="71" t="s">
        <v>120</v>
      </c>
      <c r="K22" s="65">
        <v>1069</v>
      </c>
      <c r="L22" s="65">
        <v>69.7</v>
      </c>
      <c r="M22" s="72">
        <f>698.87/365</f>
        <v>1.9147123287671233</v>
      </c>
      <c r="N22" s="73">
        <v>3.6</v>
      </c>
      <c r="O22" s="74">
        <v>2.7</v>
      </c>
      <c r="P22" s="67"/>
      <c r="Q22" s="67">
        <v>15</v>
      </c>
      <c r="R22" s="60" t="s">
        <v>28</v>
      </c>
      <c r="S22" s="26">
        <v>1134</v>
      </c>
      <c r="T22" s="61">
        <v>98.3</v>
      </c>
      <c r="U22" s="62" t="s">
        <v>94</v>
      </c>
      <c r="V22" s="63"/>
      <c r="W22" s="64">
        <v>15</v>
      </c>
      <c r="X22" s="2" t="s">
        <v>213</v>
      </c>
      <c r="Y22" s="3">
        <v>1895</v>
      </c>
      <c r="Z22" s="65">
        <v>89.7</v>
      </c>
      <c r="AA22" s="75">
        <v>10</v>
      </c>
      <c r="AB22" s="66">
        <v>0.03156164383561644</v>
      </c>
      <c r="AC22" s="66">
        <v>7.592328767123287</v>
      </c>
    </row>
    <row r="23" spans="1:29" s="77" customFormat="1" ht="15.75" customHeight="1">
      <c r="A23" s="67">
        <v>15</v>
      </c>
      <c r="B23" s="79" t="s">
        <v>138</v>
      </c>
      <c r="C23" s="80">
        <v>1530</v>
      </c>
      <c r="D23" s="81">
        <v>98.4</v>
      </c>
      <c r="E23" s="417">
        <v>98.4</v>
      </c>
      <c r="F23" s="82">
        <v>586.6</v>
      </c>
      <c r="G23" s="82">
        <v>263.42876712328757</v>
      </c>
      <c r="H23" s="84" t="s">
        <v>156</v>
      </c>
      <c r="I23" s="67">
        <v>15</v>
      </c>
      <c r="J23" s="71" t="s">
        <v>196</v>
      </c>
      <c r="K23" s="65">
        <v>1058</v>
      </c>
      <c r="L23" s="65">
        <v>89.7</v>
      </c>
      <c r="M23" s="72">
        <f>324.9/365</f>
        <v>0.8901369863013698</v>
      </c>
      <c r="N23" s="73">
        <v>5.15</v>
      </c>
      <c r="O23" s="74">
        <v>1</v>
      </c>
      <c r="P23" s="67"/>
      <c r="Q23" s="67">
        <v>16</v>
      </c>
      <c r="R23" s="60" t="s">
        <v>266</v>
      </c>
      <c r="S23" s="26">
        <v>1105</v>
      </c>
      <c r="T23" s="61">
        <v>98.3</v>
      </c>
      <c r="U23" s="62">
        <v>213.49</v>
      </c>
      <c r="V23" s="63"/>
      <c r="W23" s="64">
        <v>16</v>
      </c>
      <c r="X23" s="2" t="s">
        <v>14</v>
      </c>
      <c r="Y23" s="3">
        <v>1990</v>
      </c>
      <c r="Z23" s="65">
        <v>69.7</v>
      </c>
      <c r="AA23" s="75">
        <v>1.9</v>
      </c>
      <c r="AB23" s="66">
        <v>0</v>
      </c>
      <c r="AC23" s="66">
        <v>0.06767123287671233</v>
      </c>
    </row>
    <row r="24" spans="1:29" s="77" customFormat="1" ht="15.75" customHeight="1">
      <c r="A24" s="67">
        <v>16</v>
      </c>
      <c r="B24" s="79" t="s">
        <v>57</v>
      </c>
      <c r="C24" s="80">
        <v>1028</v>
      </c>
      <c r="D24" s="81" t="s">
        <v>58</v>
      </c>
      <c r="E24" s="417">
        <v>95.9</v>
      </c>
      <c r="F24" s="82" t="s">
        <v>93</v>
      </c>
      <c r="G24" s="82">
        <v>3.108465753424658</v>
      </c>
      <c r="H24" s="65"/>
      <c r="I24" s="67">
        <v>16</v>
      </c>
      <c r="J24" s="71" t="s">
        <v>121</v>
      </c>
      <c r="K24" s="65">
        <v>1510</v>
      </c>
      <c r="L24" s="65">
        <v>69.7</v>
      </c>
      <c r="M24" s="72">
        <f>382.32/365</f>
        <v>1.0474520547945205</v>
      </c>
      <c r="N24" s="73">
        <v>4.75</v>
      </c>
      <c r="O24" s="74">
        <v>2.176268493150685</v>
      </c>
      <c r="P24" s="67"/>
      <c r="Q24" s="67">
        <v>17</v>
      </c>
      <c r="R24" s="60" t="s">
        <v>198</v>
      </c>
      <c r="S24" s="26">
        <v>1658</v>
      </c>
      <c r="T24" s="61">
        <v>95.9</v>
      </c>
      <c r="U24" s="62">
        <v>23.18</v>
      </c>
      <c r="V24" s="63"/>
      <c r="W24" s="64">
        <v>17</v>
      </c>
      <c r="X24" s="2" t="s">
        <v>15</v>
      </c>
      <c r="Y24" s="3">
        <v>1970</v>
      </c>
      <c r="Z24" s="65">
        <v>95.9</v>
      </c>
      <c r="AA24" s="75">
        <v>14.53</v>
      </c>
      <c r="AB24" s="66">
        <v>0.013150684931506848</v>
      </c>
      <c r="AC24" s="66">
        <v>0.5079452054794521</v>
      </c>
    </row>
    <row r="25" spans="1:29" s="77" customFormat="1" ht="15.75" customHeight="1">
      <c r="A25" s="67">
        <v>17</v>
      </c>
      <c r="B25" s="79" t="s">
        <v>109</v>
      </c>
      <c r="C25" s="80">
        <v>1206</v>
      </c>
      <c r="D25" s="81"/>
      <c r="E25" s="417"/>
      <c r="F25" s="86"/>
      <c r="G25" s="87"/>
      <c r="H25" s="84" t="s">
        <v>159</v>
      </c>
      <c r="I25" s="67">
        <v>17</v>
      </c>
      <c r="J25" s="71" t="s">
        <v>122</v>
      </c>
      <c r="K25" s="65">
        <v>1023</v>
      </c>
      <c r="L25" s="65">
        <v>69.7</v>
      </c>
      <c r="M25" s="72">
        <v>0</v>
      </c>
      <c r="N25" s="73">
        <v>1.01</v>
      </c>
      <c r="O25" s="74">
        <v>1</v>
      </c>
      <c r="P25" s="67"/>
      <c r="Q25" s="67">
        <v>18</v>
      </c>
      <c r="R25" s="60" t="s">
        <v>143</v>
      </c>
      <c r="S25" s="26">
        <v>1892</v>
      </c>
      <c r="T25" s="61">
        <v>98.4</v>
      </c>
      <c r="U25" s="62">
        <v>483.1</v>
      </c>
      <c r="V25" s="63"/>
      <c r="W25" s="64">
        <v>18</v>
      </c>
      <c r="X25" s="2" t="s">
        <v>178</v>
      </c>
      <c r="Y25" s="3">
        <v>1089</v>
      </c>
      <c r="Z25" s="65">
        <v>69.7</v>
      </c>
      <c r="AA25" s="75">
        <v>1.5</v>
      </c>
      <c r="AB25" s="66">
        <v>0.0019452054794520546</v>
      </c>
      <c r="AC25" s="66">
        <v>0.656986301369863</v>
      </c>
    </row>
    <row r="26" spans="1:29" s="77" customFormat="1" ht="15.75" customHeight="1">
      <c r="A26" s="67">
        <v>18</v>
      </c>
      <c r="B26" s="79" t="s">
        <v>110</v>
      </c>
      <c r="C26" s="80">
        <v>1268</v>
      </c>
      <c r="D26" s="81">
        <v>95.6</v>
      </c>
      <c r="E26" s="417">
        <v>98.3</v>
      </c>
      <c r="F26" s="82">
        <v>171</v>
      </c>
      <c r="G26" s="82">
        <v>76</v>
      </c>
      <c r="H26" s="84" t="s">
        <v>163</v>
      </c>
      <c r="I26" s="67">
        <v>18</v>
      </c>
      <c r="J26" s="71" t="s">
        <v>232</v>
      </c>
      <c r="K26" s="65">
        <v>1150</v>
      </c>
      <c r="L26" s="65">
        <v>69.7</v>
      </c>
      <c r="M26" s="72">
        <f>293.4/365</f>
        <v>0.8038356164383561</v>
      </c>
      <c r="N26" s="73">
        <v>1.6</v>
      </c>
      <c r="O26" s="74">
        <v>1.220082191780822</v>
      </c>
      <c r="P26" s="67"/>
      <c r="Q26" s="67">
        <v>19</v>
      </c>
      <c r="R26" s="60" t="s">
        <v>135</v>
      </c>
      <c r="S26" s="26">
        <v>1051</v>
      </c>
      <c r="T26" s="61">
        <v>98.6</v>
      </c>
      <c r="U26" s="62">
        <v>800</v>
      </c>
      <c r="V26" s="63"/>
      <c r="W26" s="64">
        <v>19</v>
      </c>
      <c r="X26" s="2" t="s">
        <v>267</v>
      </c>
      <c r="Y26" s="3">
        <v>1402</v>
      </c>
      <c r="Z26" s="65">
        <v>95.9</v>
      </c>
      <c r="AA26" s="75" t="s">
        <v>268</v>
      </c>
      <c r="AB26" s="66">
        <v>0.04610958904109588</v>
      </c>
      <c r="AC26" s="66">
        <v>15.871917808219179</v>
      </c>
    </row>
    <row r="27" spans="1:29" s="77" customFormat="1" ht="15.75" customHeight="1">
      <c r="A27" s="67">
        <v>19</v>
      </c>
      <c r="B27" s="79" t="s">
        <v>52</v>
      </c>
      <c r="C27" s="80">
        <v>1113</v>
      </c>
      <c r="D27" s="81">
        <v>98.3</v>
      </c>
      <c r="E27" s="417">
        <v>98.3</v>
      </c>
      <c r="F27" s="82">
        <v>120</v>
      </c>
      <c r="G27" s="82">
        <v>92.28575342465754</v>
      </c>
      <c r="H27" s="65" t="s">
        <v>208</v>
      </c>
      <c r="I27" s="67">
        <v>19</v>
      </c>
      <c r="J27" s="71" t="s">
        <v>269</v>
      </c>
      <c r="K27" s="65">
        <v>1191</v>
      </c>
      <c r="L27" s="65">
        <v>69.7</v>
      </c>
      <c r="M27" s="72">
        <f>34.32/365</f>
        <v>0.09402739726027397</v>
      </c>
      <c r="N27" s="73">
        <v>4.64</v>
      </c>
      <c r="O27" s="74">
        <v>1.6846575342465753</v>
      </c>
      <c r="P27" s="83" t="s">
        <v>212</v>
      </c>
      <c r="Q27" s="67">
        <v>20</v>
      </c>
      <c r="R27" s="60" t="s">
        <v>98</v>
      </c>
      <c r="S27" s="26">
        <v>1147</v>
      </c>
      <c r="T27" s="61">
        <v>98.3</v>
      </c>
      <c r="U27" s="88">
        <v>132.2</v>
      </c>
      <c r="V27" s="63"/>
      <c r="W27" s="64">
        <v>20</v>
      </c>
      <c r="X27" s="2" t="s">
        <v>16</v>
      </c>
      <c r="Y27" s="3">
        <v>1625</v>
      </c>
      <c r="Z27" s="65">
        <v>89.7</v>
      </c>
      <c r="AA27" s="75">
        <v>7.23</v>
      </c>
      <c r="AB27" s="66">
        <v>0.04443835616438356</v>
      </c>
      <c r="AC27" s="66">
        <v>2.6713972602739724</v>
      </c>
    </row>
    <row r="28" spans="1:29" s="77" customFormat="1" ht="15.75" customHeight="1">
      <c r="A28" s="67">
        <v>20</v>
      </c>
      <c r="B28" s="79" t="s">
        <v>111</v>
      </c>
      <c r="C28" s="80">
        <v>1141</v>
      </c>
      <c r="D28" s="81">
        <v>98.1</v>
      </c>
      <c r="E28" s="417">
        <v>99.5</v>
      </c>
      <c r="F28" s="82" t="s">
        <v>104</v>
      </c>
      <c r="G28" s="82">
        <v>2301.767479452055</v>
      </c>
      <c r="H28" s="65"/>
      <c r="I28" s="67">
        <v>20</v>
      </c>
      <c r="J28" s="71" t="s">
        <v>123</v>
      </c>
      <c r="K28" s="65">
        <v>1560</v>
      </c>
      <c r="L28" s="65">
        <v>69.7</v>
      </c>
      <c r="M28" s="72">
        <f>222.28/365</f>
        <v>0.608986301369863</v>
      </c>
      <c r="N28" s="73">
        <v>2.6</v>
      </c>
      <c r="O28" s="74">
        <v>1</v>
      </c>
      <c r="P28" s="67"/>
      <c r="Q28" s="64">
        <v>21</v>
      </c>
      <c r="R28" s="60" t="s">
        <v>270</v>
      </c>
      <c r="S28" s="26">
        <v>1654</v>
      </c>
      <c r="T28" s="89">
        <v>69.7</v>
      </c>
      <c r="U28" s="88">
        <v>4.6</v>
      </c>
      <c r="V28" s="90"/>
      <c r="W28" s="64">
        <v>21</v>
      </c>
      <c r="X28" s="2" t="s">
        <v>17</v>
      </c>
      <c r="Y28" s="3">
        <v>1746</v>
      </c>
      <c r="Z28" s="65">
        <v>95.9</v>
      </c>
      <c r="AA28" s="75">
        <v>26.18</v>
      </c>
      <c r="AB28" s="66">
        <v>0.06775342465753424</v>
      </c>
      <c r="AC28" s="66">
        <v>13.040273972602739</v>
      </c>
    </row>
    <row r="29" spans="1:29" s="77" customFormat="1" ht="15.75" customHeight="1">
      <c r="A29" s="67">
        <v>21</v>
      </c>
      <c r="B29" s="79" t="s">
        <v>176</v>
      </c>
      <c r="C29" s="80">
        <v>1133</v>
      </c>
      <c r="D29" s="81">
        <v>98.4</v>
      </c>
      <c r="E29" s="417">
        <v>98.4</v>
      </c>
      <c r="F29" s="82">
        <v>971.1</v>
      </c>
      <c r="G29" s="82">
        <v>264.8868493150685</v>
      </c>
      <c r="H29" s="65" t="s">
        <v>208</v>
      </c>
      <c r="I29" s="67">
        <v>21</v>
      </c>
      <c r="J29" s="71" t="s">
        <v>304</v>
      </c>
      <c r="K29" s="65">
        <v>1179</v>
      </c>
      <c r="L29" s="65">
        <v>69.7</v>
      </c>
      <c r="M29" s="72">
        <f>149.9/365</f>
        <v>0.4106849315068493</v>
      </c>
      <c r="N29" s="73">
        <v>0.61</v>
      </c>
      <c r="O29" s="74">
        <v>1.6</v>
      </c>
      <c r="P29" s="67" t="s">
        <v>208</v>
      </c>
      <c r="Q29" s="91">
        <v>22</v>
      </c>
      <c r="R29" s="92" t="s">
        <v>271</v>
      </c>
      <c r="S29" s="93">
        <v>1960</v>
      </c>
      <c r="T29" s="94">
        <v>70</v>
      </c>
      <c r="U29" s="95">
        <v>0.99</v>
      </c>
      <c r="V29" s="90"/>
      <c r="W29" s="64">
        <v>22</v>
      </c>
      <c r="X29" s="2" t="s">
        <v>92</v>
      </c>
      <c r="Y29" s="3">
        <v>1698</v>
      </c>
      <c r="Z29" s="65">
        <v>89.7</v>
      </c>
      <c r="AA29" s="75">
        <v>6.9</v>
      </c>
      <c r="AB29" s="66">
        <v>0.0013698630136986301</v>
      </c>
      <c r="AC29" s="66">
        <v>5.0320547945205485</v>
      </c>
    </row>
    <row r="30" spans="1:29" s="77" customFormat="1" ht="15.75" customHeight="1">
      <c r="A30" s="67">
        <v>22</v>
      </c>
      <c r="B30" s="79" t="s">
        <v>231</v>
      </c>
      <c r="C30" s="80">
        <v>1112</v>
      </c>
      <c r="D30" s="81">
        <v>95.9</v>
      </c>
      <c r="E30" s="417">
        <v>95.9</v>
      </c>
      <c r="F30" s="82">
        <v>49.81</v>
      </c>
      <c r="G30" s="82">
        <v>40.57317808219178</v>
      </c>
      <c r="H30" s="84" t="s">
        <v>208</v>
      </c>
      <c r="I30" s="67">
        <v>22</v>
      </c>
      <c r="J30" s="71" t="s">
        <v>124</v>
      </c>
      <c r="K30" s="65">
        <v>1070</v>
      </c>
      <c r="L30" s="65"/>
      <c r="M30" s="72">
        <f>92.18/365</f>
        <v>0.25254794520547946</v>
      </c>
      <c r="N30" s="73">
        <v>0.75</v>
      </c>
      <c r="O30" s="74">
        <v>1</v>
      </c>
      <c r="P30" s="83" t="s">
        <v>156</v>
      </c>
      <c r="Q30" s="96"/>
      <c r="R30" s="97"/>
      <c r="S30" s="98"/>
      <c r="T30" s="99"/>
      <c r="U30" s="99"/>
      <c r="V30" s="99"/>
      <c r="W30" s="64">
        <v>23</v>
      </c>
      <c r="X30" s="2" t="s">
        <v>136</v>
      </c>
      <c r="Y30" s="3">
        <v>1695</v>
      </c>
      <c r="Z30" s="65">
        <v>95.9</v>
      </c>
      <c r="AA30" s="75">
        <v>12</v>
      </c>
      <c r="AB30" s="66">
        <v>0.026301369863013697</v>
      </c>
      <c r="AC30" s="66">
        <v>5.226849315068493</v>
      </c>
    </row>
    <row r="31" spans="1:29" s="77" customFormat="1" ht="15.75" customHeight="1">
      <c r="A31" s="67">
        <v>23</v>
      </c>
      <c r="B31" s="79" t="s">
        <v>7</v>
      </c>
      <c r="C31" s="80">
        <v>1296</v>
      </c>
      <c r="D31" s="81">
        <v>92</v>
      </c>
      <c r="E31" s="417">
        <v>95.9</v>
      </c>
      <c r="F31" s="82">
        <v>25</v>
      </c>
      <c r="G31" s="82">
        <v>17.459452054794518</v>
      </c>
      <c r="H31" s="65"/>
      <c r="I31" s="67">
        <v>23</v>
      </c>
      <c r="J31" s="71" t="s">
        <v>272</v>
      </c>
      <c r="K31" s="65">
        <v>1135</v>
      </c>
      <c r="L31" s="65">
        <v>95.9</v>
      </c>
      <c r="M31" s="72">
        <f>32.15/365</f>
        <v>0.08808219178082191</v>
      </c>
      <c r="N31" s="73">
        <v>16</v>
      </c>
      <c r="O31" s="74">
        <v>5.1825753424657535</v>
      </c>
      <c r="P31" s="83" t="s">
        <v>212</v>
      </c>
      <c r="Q31" s="96"/>
      <c r="R31" s="96" t="s">
        <v>162</v>
      </c>
      <c r="S31" s="100"/>
      <c r="T31" s="100"/>
      <c r="U31" s="100"/>
      <c r="W31" s="64">
        <v>24</v>
      </c>
      <c r="X31" s="2" t="s">
        <v>18</v>
      </c>
      <c r="Y31" s="3">
        <v>1964</v>
      </c>
      <c r="Z31" s="65">
        <v>89.7</v>
      </c>
      <c r="AA31" s="75">
        <v>5.15</v>
      </c>
      <c r="AB31" s="66">
        <v>0.004383561643835617</v>
      </c>
      <c r="AC31" s="66">
        <v>0.16876712328767124</v>
      </c>
    </row>
    <row r="32" spans="1:29" s="77" customFormat="1" ht="15.75" customHeight="1">
      <c r="A32" s="67">
        <v>24</v>
      </c>
      <c r="B32" s="68" t="s">
        <v>51</v>
      </c>
      <c r="C32" s="65">
        <v>1056</v>
      </c>
      <c r="D32" s="61">
        <v>98.7</v>
      </c>
      <c r="E32" s="416">
        <v>99.5</v>
      </c>
      <c r="F32" s="69">
        <v>3148</v>
      </c>
      <c r="G32" s="69">
        <v>2099.594794520548</v>
      </c>
      <c r="H32" s="65"/>
      <c r="I32" s="67">
        <v>24</v>
      </c>
      <c r="J32" s="71" t="s">
        <v>273</v>
      </c>
      <c r="K32" s="65">
        <v>1100</v>
      </c>
      <c r="L32" s="65">
        <v>69.7</v>
      </c>
      <c r="M32" s="72">
        <f>0/365</f>
        <v>0</v>
      </c>
      <c r="N32" s="73">
        <v>4.9</v>
      </c>
      <c r="O32" s="74">
        <v>2.69</v>
      </c>
      <c r="P32" s="78" t="s">
        <v>165</v>
      </c>
      <c r="Q32" s="96"/>
      <c r="R32" s="101" t="s">
        <v>295</v>
      </c>
      <c r="S32" s="96"/>
      <c r="T32" s="102"/>
      <c r="U32" s="102"/>
      <c r="V32" s="99"/>
      <c r="W32" s="64">
        <v>25</v>
      </c>
      <c r="X32" s="2" t="s">
        <v>19</v>
      </c>
      <c r="Y32" s="3">
        <v>1155</v>
      </c>
      <c r="Z32" s="65">
        <v>95.9</v>
      </c>
      <c r="AA32" s="75" t="s">
        <v>274</v>
      </c>
      <c r="AB32" s="66">
        <v>0.2891780821917808</v>
      </c>
      <c r="AC32" s="66">
        <v>9.508739726027397</v>
      </c>
    </row>
    <row r="33" spans="1:29" s="77" customFormat="1" ht="15.75" customHeight="1">
      <c r="A33" s="67">
        <v>25</v>
      </c>
      <c r="B33" s="79" t="s">
        <v>59</v>
      </c>
      <c r="C33" s="80">
        <v>1054</v>
      </c>
      <c r="D33" s="81">
        <v>97.5</v>
      </c>
      <c r="E33" s="417">
        <v>98.3</v>
      </c>
      <c r="F33" s="82">
        <v>287.5</v>
      </c>
      <c r="G33" s="82">
        <v>181.33424657534246</v>
      </c>
      <c r="H33" s="65"/>
      <c r="I33" s="67">
        <v>25</v>
      </c>
      <c r="J33" s="71" t="s">
        <v>275</v>
      </c>
      <c r="K33" s="65">
        <v>1109</v>
      </c>
      <c r="L33" s="65">
        <v>69.7</v>
      </c>
      <c r="M33" s="72">
        <f>65.9/365</f>
        <v>0.18054794520547945</v>
      </c>
      <c r="N33" s="73">
        <v>2.99</v>
      </c>
      <c r="O33" s="74">
        <v>1.1345205479452056</v>
      </c>
      <c r="P33" s="67"/>
      <c r="Q33" s="96"/>
      <c r="R33" s="101" t="s">
        <v>276</v>
      </c>
      <c r="S33" s="96"/>
      <c r="T33" s="102"/>
      <c r="U33" s="102"/>
      <c r="V33" s="99"/>
      <c r="W33" s="64">
        <v>26</v>
      </c>
      <c r="X33" s="2" t="s">
        <v>277</v>
      </c>
      <c r="Y33" s="3">
        <v>1793</v>
      </c>
      <c r="Z33" s="65">
        <v>95.9</v>
      </c>
      <c r="AA33" s="75">
        <v>21</v>
      </c>
      <c r="AB33" s="66">
        <v>0.010136986301369864</v>
      </c>
      <c r="AC33" s="66">
        <v>4.3123287671232875</v>
      </c>
    </row>
    <row r="34" spans="1:29" s="77" customFormat="1" ht="15.75" customHeight="1">
      <c r="A34" s="67">
        <v>26</v>
      </c>
      <c r="B34" s="79" t="s">
        <v>85</v>
      </c>
      <c r="C34" s="80">
        <v>1081</v>
      </c>
      <c r="D34" s="81">
        <v>95.5</v>
      </c>
      <c r="E34" s="417">
        <v>98.3</v>
      </c>
      <c r="F34" s="82">
        <v>235</v>
      </c>
      <c r="G34" s="82">
        <v>182.10953424657532</v>
      </c>
      <c r="H34" s="65"/>
      <c r="I34" s="67">
        <v>26</v>
      </c>
      <c r="J34" s="71" t="s">
        <v>197</v>
      </c>
      <c r="K34" s="65">
        <v>1115</v>
      </c>
      <c r="L34" s="65">
        <v>89.7</v>
      </c>
      <c r="M34" s="72">
        <f>832.4/365</f>
        <v>2.2805479452054795</v>
      </c>
      <c r="N34" s="73">
        <v>7.5</v>
      </c>
      <c r="O34" s="74">
        <v>3.5298630136986304</v>
      </c>
      <c r="P34" s="67"/>
      <c r="Q34" s="96"/>
      <c r="R34" s="103" t="s">
        <v>294</v>
      </c>
      <c r="S34" s="98"/>
      <c r="T34" s="99"/>
      <c r="U34" s="99"/>
      <c r="V34" s="99"/>
      <c r="W34" s="64">
        <v>27</v>
      </c>
      <c r="X34" s="2" t="s">
        <v>179</v>
      </c>
      <c r="Y34" s="3">
        <v>1672</v>
      </c>
      <c r="Z34" s="65">
        <v>69.7</v>
      </c>
      <c r="AA34" s="75">
        <v>3.3</v>
      </c>
      <c r="AB34" s="66">
        <v>0.0010958904109589042</v>
      </c>
      <c r="AC34" s="66">
        <v>1.098082191780822</v>
      </c>
    </row>
    <row r="35" spans="1:29" s="77" customFormat="1" ht="15.75" customHeight="1">
      <c r="A35" s="67">
        <v>27</v>
      </c>
      <c r="B35" s="79" t="s">
        <v>278</v>
      </c>
      <c r="C35" s="80">
        <v>1034</v>
      </c>
      <c r="D35" s="81">
        <v>98.3</v>
      </c>
      <c r="E35" s="417">
        <v>98.5</v>
      </c>
      <c r="F35" s="82">
        <v>1356.1</v>
      </c>
      <c r="G35" s="82">
        <v>777.5947945205479</v>
      </c>
      <c r="H35" s="65"/>
      <c r="I35" s="67">
        <v>27</v>
      </c>
      <c r="J35" s="71" t="s">
        <v>125</v>
      </c>
      <c r="K35" s="65">
        <v>1399</v>
      </c>
      <c r="L35" s="65"/>
      <c r="M35" s="72">
        <f>56.41/365</f>
        <v>0.15454794520547943</v>
      </c>
      <c r="N35" s="73">
        <v>0.95</v>
      </c>
      <c r="O35" s="74">
        <v>1</v>
      </c>
      <c r="P35" s="67" t="s">
        <v>208</v>
      </c>
      <c r="Q35" s="96"/>
      <c r="R35" s="20"/>
      <c r="S35" s="20"/>
      <c r="T35" s="33"/>
      <c r="U35" s="33"/>
      <c r="V35" s="99"/>
      <c r="W35" s="64">
        <v>28</v>
      </c>
      <c r="X35" s="2" t="s">
        <v>101</v>
      </c>
      <c r="Y35" s="3">
        <v>1888</v>
      </c>
      <c r="Z35" s="65">
        <v>89.7</v>
      </c>
      <c r="AA35" s="75" t="s">
        <v>279</v>
      </c>
      <c r="AB35" s="66">
        <v>0.04876712328767124</v>
      </c>
      <c r="AC35" s="66">
        <v>1.4421917808219178</v>
      </c>
    </row>
    <row r="36" spans="1:29" s="77" customFormat="1" ht="19.5" thickBot="1">
      <c r="A36" s="104">
        <v>28</v>
      </c>
      <c r="B36" s="105" t="s">
        <v>280</v>
      </c>
      <c r="C36" s="16">
        <v>1219</v>
      </c>
      <c r="D36" s="106">
        <v>92</v>
      </c>
      <c r="E36" s="418">
        <v>98.2</v>
      </c>
      <c r="F36" s="107">
        <v>80.3</v>
      </c>
      <c r="G36" s="107">
        <v>38.6</v>
      </c>
      <c r="H36" s="108" t="s">
        <v>164</v>
      </c>
      <c r="I36" s="104">
        <v>28</v>
      </c>
      <c r="J36" s="105" t="s">
        <v>126</v>
      </c>
      <c r="K36" s="16">
        <v>1096</v>
      </c>
      <c r="L36" s="16">
        <v>69.7</v>
      </c>
      <c r="M36" s="109">
        <f>64.02/365</f>
        <v>0.1753972602739726</v>
      </c>
      <c r="N36" s="109">
        <v>4.7</v>
      </c>
      <c r="O36" s="110">
        <v>2.3</v>
      </c>
      <c r="P36" s="111" t="s">
        <v>173</v>
      </c>
      <c r="Q36" s="112"/>
      <c r="R36" s="34"/>
      <c r="S36" s="34"/>
      <c r="T36" s="99"/>
      <c r="U36" s="99"/>
      <c r="V36" s="33"/>
      <c r="W36" s="64">
        <v>29</v>
      </c>
      <c r="X36" s="2" t="s">
        <v>80</v>
      </c>
      <c r="Y36" s="3">
        <v>1520</v>
      </c>
      <c r="Z36" s="65">
        <v>98.3</v>
      </c>
      <c r="AA36" s="75">
        <v>124</v>
      </c>
      <c r="AB36" s="113">
        <v>0.11917808219178082</v>
      </c>
      <c r="AC36" s="113">
        <v>57.75720547945206</v>
      </c>
    </row>
    <row r="37" spans="1:29" ht="15.75" customHeight="1" thickBot="1">
      <c r="A37" s="67"/>
      <c r="B37" s="114"/>
      <c r="C37" s="115"/>
      <c r="D37" s="116"/>
      <c r="E37" s="117"/>
      <c r="F37" s="118"/>
      <c r="G37" s="119"/>
      <c r="I37" s="41"/>
      <c r="M37" s="120"/>
      <c r="N37" s="47"/>
      <c r="O37" s="112"/>
      <c r="P37" s="67"/>
      <c r="W37" s="64">
        <v>30</v>
      </c>
      <c r="X37" s="5" t="s">
        <v>81</v>
      </c>
      <c r="Y37" s="4" t="s">
        <v>161</v>
      </c>
      <c r="Z37" s="16">
        <v>98.3</v>
      </c>
      <c r="AA37" s="121">
        <v>247</v>
      </c>
      <c r="AB37" s="122">
        <v>0.24082191780821918</v>
      </c>
      <c r="AC37" s="122">
        <v>44.835808219178084</v>
      </c>
    </row>
    <row r="38" spans="2:29" ht="15.75" customHeight="1">
      <c r="B38" s="114" t="s">
        <v>162</v>
      </c>
      <c r="C38" s="115"/>
      <c r="D38" s="116"/>
      <c r="E38" s="117"/>
      <c r="F38" s="118"/>
      <c r="G38" s="119"/>
      <c r="I38" s="99"/>
      <c r="J38" s="123" t="s">
        <v>281</v>
      </c>
      <c r="K38" s="112"/>
      <c r="L38" s="124"/>
      <c r="M38" s="124"/>
      <c r="N38" s="112"/>
      <c r="P38" s="65"/>
      <c r="Q38" s="34"/>
      <c r="V38" s="99"/>
      <c r="W38" s="64"/>
      <c r="AB38" s="125"/>
      <c r="AC38" s="125"/>
    </row>
    <row r="39" spans="1:45" ht="19.5" customHeight="1">
      <c r="A39" s="21"/>
      <c r="B39" s="101" t="s">
        <v>292</v>
      </c>
      <c r="C39" s="126"/>
      <c r="D39" s="127"/>
      <c r="E39" s="128"/>
      <c r="F39" s="129"/>
      <c r="G39" s="130"/>
      <c r="H39" s="26"/>
      <c r="I39" s="77"/>
      <c r="J39" s="103" t="s">
        <v>282</v>
      </c>
      <c r="K39" s="102"/>
      <c r="L39" s="102"/>
      <c r="M39" s="102"/>
      <c r="N39" s="102"/>
      <c r="O39" s="99"/>
      <c r="P39" s="99"/>
      <c r="Q39" s="77"/>
      <c r="R39" s="77"/>
      <c r="S39" s="77"/>
      <c r="W39" s="131" t="s">
        <v>296</v>
      </c>
      <c r="X39" s="132"/>
      <c r="Y39" s="132"/>
      <c r="Z39" s="132"/>
      <c r="AA39" s="132"/>
      <c r="AB39" s="133"/>
      <c r="AC39" s="133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</row>
    <row r="40" spans="2:14" ht="18.75">
      <c r="B40" s="123" t="s">
        <v>293</v>
      </c>
      <c r="C40" s="65"/>
      <c r="D40" s="124"/>
      <c r="E40" s="124"/>
      <c r="F40" s="112"/>
      <c r="J40" s="103" t="s">
        <v>283</v>
      </c>
      <c r="K40" s="112"/>
      <c r="L40" s="112"/>
      <c r="M40" s="112"/>
      <c r="N40" s="112"/>
    </row>
    <row r="41" spans="6:29" ht="18.75">
      <c r="F41" s="20"/>
      <c r="G41" s="20"/>
      <c r="J41" s="123" t="s">
        <v>284</v>
      </c>
      <c r="K41" s="65"/>
      <c r="L41" s="124"/>
      <c r="M41" s="112"/>
      <c r="N41" s="112"/>
      <c r="W41" s="134" t="s">
        <v>285</v>
      </c>
      <c r="X41" s="71"/>
      <c r="Z41" s="77"/>
      <c r="AA41" s="77"/>
      <c r="AB41" s="77"/>
      <c r="AC41" s="77"/>
    </row>
    <row r="42" spans="6:29" ht="16.5">
      <c r="F42" s="20"/>
      <c r="G42" s="20"/>
      <c r="W42" s="67">
        <v>31</v>
      </c>
      <c r="X42" s="71" t="s">
        <v>194</v>
      </c>
      <c r="Y42" s="65">
        <v>1280</v>
      </c>
      <c r="Z42" s="65">
        <v>89.7</v>
      </c>
      <c r="AA42" s="75">
        <v>5.77</v>
      </c>
      <c r="AB42" s="75">
        <v>0.11350684931506849</v>
      </c>
      <c r="AC42" s="75">
        <v>4.1896438356164385</v>
      </c>
    </row>
    <row r="43" spans="6:29" ht="16.5">
      <c r="F43" s="20"/>
      <c r="G43" s="20"/>
      <c r="W43" s="67">
        <v>32</v>
      </c>
      <c r="X43" s="68" t="s">
        <v>227</v>
      </c>
      <c r="Y43" s="65">
        <v>1108</v>
      </c>
      <c r="Z43" s="61">
        <v>98.4</v>
      </c>
      <c r="AA43" s="135">
        <v>466</v>
      </c>
      <c r="AB43" s="113">
        <v>0.2156164383561644</v>
      </c>
      <c r="AC43" s="113">
        <v>134.353698630137</v>
      </c>
    </row>
    <row r="44" spans="3:29" ht="16.5">
      <c r="C44" s="136"/>
      <c r="F44" s="20"/>
      <c r="G44" s="20"/>
      <c r="W44" s="67">
        <v>33</v>
      </c>
      <c r="X44" s="2" t="s">
        <v>20</v>
      </c>
      <c r="Y44" s="3">
        <v>1105</v>
      </c>
      <c r="Z44" s="65">
        <v>98.3</v>
      </c>
      <c r="AA44" s="75">
        <v>213.49</v>
      </c>
      <c r="AB44" s="66">
        <v>0.6795890410958905</v>
      </c>
      <c r="AC44" s="66">
        <v>136.5065205479452</v>
      </c>
    </row>
    <row r="45" spans="6:29" ht="16.5">
      <c r="F45" s="20"/>
      <c r="G45" s="20"/>
      <c r="W45" s="67">
        <v>34</v>
      </c>
      <c r="X45" s="71" t="s">
        <v>204</v>
      </c>
      <c r="Y45" s="65">
        <v>1191</v>
      </c>
      <c r="Z45" s="65">
        <v>69.7</v>
      </c>
      <c r="AA45" s="135">
        <v>4.64</v>
      </c>
      <c r="AB45" s="75">
        <v>0.09402739726027397</v>
      </c>
      <c r="AC45" s="75">
        <v>1.9245479452054794</v>
      </c>
    </row>
    <row r="46" spans="6:29" ht="16.5">
      <c r="F46" s="20"/>
      <c r="G46" s="20"/>
      <c r="W46" s="67">
        <v>35</v>
      </c>
      <c r="X46" s="71" t="s">
        <v>205</v>
      </c>
      <c r="Y46" s="65">
        <v>1135</v>
      </c>
      <c r="Z46" s="65">
        <v>95.9</v>
      </c>
      <c r="AA46" s="135">
        <v>16</v>
      </c>
      <c r="AB46" s="75">
        <v>0.08808219178082191</v>
      </c>
      <c r="AC46" s="75">
        <v>9.189041095890412</v>
      </c>
    </row>
    <row r="47" spans="6:29" ht="16.5">
      <c r="F47" s="20"/>
      <c r="G47" s="20"/>
      <c r="W47" s="67">
        <v>36</v>
      </c>
      <c r="X47" s="60" t="s">
        <v>206</v>
      </c>
      <c r="Y47" s="26">
        <v>1100</v>
      </c>
      <c r="Z47" s="26">
        <v>69.7</v>
      </c>
      <c r="AA47" s="137">
        <v>4.9</v>
      </c>
      <c r="AB47" s="138">
        <v>0</v>
      </c>
      <c r="AC47" s="138">
        <v>1.6042465753424657</v>
      </c>
    </row>
    <row r="48" spans="6:29" ht="17.25" thickBot="1">
      <c r="F48" s="20"/>
      <c r="G48" s="20"/>
      <c r="W48" s="104">
        <v>37</v>
      </c>
      <c r="X48" s="105" t="s">
        <v>245</v>
      </c>
      <c r="Y48" s="16">
        <v>1654</v>
      </c>
      <c r="Z48" s="16">
        <v>69.7</v>
      </c>
      <c r="AA48" s="139">
        <v>4.6</v>
      </c>
      <c r="AB48" s="121">
        <v>0.38</v>
      </c>
      <c r="AC48" s="121">
        <v>0.6</v>
      </c>
    </row>
    <row r="49" spans="6:23" ht="16.5">
      <c r="F49" s="20"/>
      <c r="G49" s="20"/>
      <c r="W49" s="47" t="s">
        <v>202</v>
      </c>
    </row>
    <row r="50" spans="6:29" ht="16.5">
      <c r="F50" s="20"/>
      <c r="G50" s="20"/>
      <c r="W50" s="47"/>
      <c r="AC50" s="125"/>
    </row>
    <row r="51" spans="6:24" ht="16.5">
      <c r="F51" s="20"/>
      <c r="G51" s="20"/>
      <c r="W51" s="47"/>
      <c r="X51" s="47"/>
    </row>
    <row r="52" spans="6:7" ht="16.5">
      <c r="F52" s="20"/>
      <c r="G52" s="20"/>
    </row>
    <row r="53" spans="6:7" ht="16.5">
      <c r="F53" s="20"/>
      <c r="G53" s="20"/>
    </row>
    <row r="54" spans="6:7" ht="16.5">
      <c r="F54" s="20"/>
      <c r="G54" s="20"/>
    </row>
    <row r="55" spans="6:7" ht="16.5">
      <c r="F55" s="20"/>
      <c r="G55" s="20"/>
    </row>
    <row r="56" spans="6:7" ht="16.5">
      <c r="F56" s="20"/>
      <c r="G56" s="20"/>
    </row>
    <row r="57" spans="6:7" ht="16.5">
      <c r="F57" s="20"/>
      <c r="G57" s="20"/>
    </row>
    <row r="58" spans="6:7" ht="16.5">
      <c r="F58" s="20"/>
      <c r="G58" s="20"/>
    </row>
    <row r="59" spans="6:7" ht="16.5">
      <c r="F59" s="20"/>
      <c r="G59" s="20"/>
    </row>
    <row r="60" spans="6:21" ht="16.5">
      <c r="F60" s="20"/>
      <c r="G60" s="20"/>
      <c r="R60" s="112"/>
      <c r="S60" s="112"/>
      <c r="T60" s="87"/>
      <c r="U60" s="87"/>
    </row>
    <row r="61" spans="6:21" ht="16.5">
      <c r="F61" s="20"/>
      <c r="G61" s="20"/>
      <c r="I61" s="112"/>
      <c r="J61" s="112"/>
      <c r="K61" s="112"/>
      <c r="L61" s="112"/>
      <c r="R61" s="112"/>
      <c r="S61" s="112"/>
      <c r="T61" s="87"/>
      <c r="U61" s="87"/>
    </row>
    <row r="62" spans="6:22" ht="16.5">
      <c r="F62" s="20"/>
      <c r="G62" s="20"/>
      <c r="I62" s="112"/>
      <c r="J62" s="112"/>
      <c r="K62" s="112"/>
      <c r="L62" s="112"/>
      <c r="Q62" s="112"/>
      <c r="V62" s="87"/>
    </row>
    <row r="63" spans="1:33" s="112" customFormat="1" ht="15.75">
      <c r="A63" s="67"/>
      <c r="C63" s="65"/>
      <c r="D63" s="124"/>
      <c r="E63" s="124"/>
      <c r="F63" s="20"/>
      <c r="G63" s="20"/>
      <c r="H63" s="65"/>
      <c r="I63" s="20"/>
      <c r="J63" s="20"/>
      <c r="K63" s="20"/>
      <c r="L63" s="20"/>
      <c r="R63" s="20"/>
      <c r="S63" s="20"/>
      <c r="T63" s="33"/>
      <c r="U63" s="33"/>
      <c r="V63" s="87"/>
      <c r="W63" s="20"/>
      <c r="X63" s="20"/>
      <c r="Y63" s="35"/>
      <c r="Z63" s="20"/>
      <c r="AA63" s="20"/>
      <c r="AB63" s="20"/>
      <c r="AC63" s="20"/>
      <c r="AD63" s="20"/>
      <c r="AE63" s="20"/>
      <c r="AF63" s="20"/>
      <c r="AG63" s="20"/>
    </row>
    <row r="64" spans="1:33" s="112" customFormat="1" ht="15.75">
      <c r="A64" s="67"/>
      <c r="C64" s="65"/>
      <c r="D64" s="124"/>
      <c r="E64" s="124"/>
      <c r="F64" s="20"/>
      <c r="G64" s="20"/>
      <c r="H64" s="65"/>
      <c r="I64" s="20"/>
      <c r="J64" s="20"/>
      <c r="K64" s="20"/>
      <c r="L64" s="20"/>
      <c r="Q64" s="20"/>
      <c r="R64" s="20"/>
      <c r="S64" s="20"/>
      <c r="T64" s="33"/>
      <c r="U64" s="33"/>
      <c r="V64" s="33"/>
      <c r="W64" s="20"/>
      <c r="X64" s="20"/>
      <c r="Y64" s="35"/>
      <c r="Z64" s="20"/>
      <c r="AA64" s="20"/>
      <c r="AB64" s="20"/>
      <c r="AC64" s="20"/>
      <c r="AD64" s="20"/>
      <c r="AE64" s="20"/>
      <c r="AF64" s="20"/>
      <c r="AG64" s="20"/>
    </row>
    <row r="65" spans="6:7" ht="16.5">
      <c r="F65" s="20"/>
      <c r="G65" s="20"/>
    </row>
    <row r="66" spans="6:29" ht="16.5">
      <c r="F66" s="20"/>
      <c r="G66" s="20"/>
      <c r="W66" s="112"/>
      <c r="X66" s="112"/>
      <c r="Y66" s="65"/>
      <c r="Z66" s="112"/>
      <c r="AA66" s="112"/>
      <c r="AB66" s="112"/>
      <c r="AC66" s="112"/>
    </row>
    <row r="67" spans="6:33" ht="16.5">
      <c r="F67" s="20"/>
      <c r="G67" s="20"/>
      <c r="W67" s="112"/>
      <c r="X67" s="112"/>
      <c r="Y67" s="65"/>
      <c r="Z67" s="112"/>
      <c r="AA67" s="112"/>
      <c r="AB67" s="112"/>
      <c r="AC67" s="112"/>
      <c r="AD67" s="112"/>
      <c r="AE67" s="112"/>
      <c r="AF67" s="112"/>
      <c r="AG67" s="112"/>
    </row>
    <row r="68" spans="30:33" ht="16.5">
      <c r="AD68" s="112"/>
      <c r="AE68" s="112"/>
      <c r="AF68" s="112"/>
      <c r="AG68" s="112"/>
    </row>
    <row r="70" ht="18">
      <c r="F70" s="140"/>
    </row>
  </sheetData>
  <printOptions gridLines="1" horizontalCentered="1"/>
  <pageMargins left="0.25" right="0.25" top="0.75" bottom="0.58" header="0.5" footer="0.28"/>
  <pageSetup firstPageNumber="9" useFirstPageNumber="1" horizontalDpi="600" verticalDpi="600" orientation="landscape" scale="59" r:id="rId1"/>
  <headerFooter alignWithMargins="0">
    <oddFooter>&amp;R&amp;"Arial,Bold"&amp;14EUB ST101-2006: Sulphur Recovery and Sulphur Emissions at Alberta Sour Gas Plants (August 2006)    •    &amp;P</oddFooter>
  </headerFooter>
  <colBreaks count="3" manualBreakCount="3">
    <brk id="8" max="49" man="1"/>
    <brk id="16" max="49" man="1"/>
    <brk id="22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="75" zoomScaleNormal="75" workbookViewId="0" topLeftCell="A1">
      <selection activeCell="D12" sqref="D12"/>
    </sheetView>
  </sheetViews>
  <sheetFormatPr defaultColWidth="9.140625" defaultRowHeight="12.75"/>
  <cols>
    <col min="1" max="1" width="8.421875" style="147" customWidth="1"/>
    <col min="2" max="2" width="40.7109375" style="147" customWidth="1"/>
    <col min="3" max="3" width="12.140625" style="147" bestFit="1" customWidth="1"/>
    <col min="4" max="4" width="51.140625" style="149" bestFit="1" customWidth="1"/>
    <col min="5" max="5" width="10.8515625" style="169" customWidth="1"/>
    <col min="6" max="6" width="32.00390625" style="151" bestFit="1" customWidth="1"/>
    <col min="7" max="16384" width="9.140625" style="147" customWidth="1"/>
  </cols>
  <sheetData>
    <row r="1" spans="1:6" ht="21" thickBot="1">
      <c r="A1" s="141" t="s">
        <v>286</v>
      </c>
      <c r="B1" s="142"/>
      <c r="C1" s="143"/>
      <c r="D1" s="144"/>
      <c r="E1" s="145"/>
      <c r="F1" s="146"/>
    </row>
    <row r="3" spans="1:5" ht="15">
      <c r="A3" s="148"/>
      <c r="B3" s="148"/>
      <c r="E3" s="150" t="s">
        <v>2</v>
      </c>
    </row>
    <row r="4" spans="2:5" ht="15">
      <c r="B4" s="152"/>
      <c r="E4" s="150" t="s">
        <v>3</v>
      </c>
    </row>
    <row r="5" spans="5:6" ht="15">
      <c r="E5" s="150" t="s">
        <v>4</v>
      </c>
      <c r="F5" s="150" t="s">
        <v>91</v>
      </c>
    </row>
    <row r="6" spans="1:6" ht="17.25" thickBot="1">
      <c r="A6" s="153" t="s">
        <v>185</v>
      </c>
      <c r="B6" s="154"/>
      <c r="C6" s="155" t="s">
        <v>88</v>
      </c>
      <c r="D6" s="155" t="s">
        <v>89</v>
      </c>
      <c r="E6" s="155" t="s">
        <v>97</v>
      </c>
      <c r="F6" s="155" t="s">
        <v>8</v>
      </c>
    </row>
    <row r="7" spans="1:6" ht="15">
      <c r="A7" s="156">
        <v>1</v>
      </c>
      <c r="B7" s="157" t="s">
        <v>0</v>
      </c>
      <c r="C7" s="156">
        <v>1108</v>
      </c>
      <c r="D7" s="100" t="s">
        <v>186</v>
      </c>
      <c r="E7" s="158">
        <v>400</v>
      </c>
      <c r="F7" s="159" t="s">
        <v>214</v>
      </c>
    </row>
    <row r="8" spans="1:6" ht="15">
      <c r="A8" s="156">
        <v>2</v>
      </c>
      <c r="B8" s="157" t="s">
        <v>0</v>
      </c>
      <c r="C8" s="156">
        <v>1021</v>
      </c>
      <c r="D8" s="96" t="s">
        <v>77</v>
      </c>
      <c r="E8" s="158">
        <v>404.9</v>
      </c>
      <c r="F8" s="159" t="s">
        <v>223</v>
      </c>
    </row>
    <row r="9" spans="1:6" ht="15">
      <c r="A9" s="156">
        <v>3</v>
      </c>
      <c r="B9" s="157" t="s">
        <v>0</v>
      </c>
      <c r="C9" s="156">
        <v>1004</v>
      </c>
      <c r="D9" s="96" t="s">
        <v>177</v>
      </c>
      <c r="E9" s="158">
        <v>150</v>
      </c>
      <c r="F9" s="159" t="s">
        <v>223</v>
      </c>
    </row>
    <row r="10" spans="1:6" ht="15">
      <c r="A10" s="156">
        <v>4</v>
      </c>
      <c r="B10" s="157" t="s">
        <v>0</v>
      </c>
      <c r="C10" s="156">
        <v>1114</v>
      </c>
      <c r="D10" s="100" t="s">
        <v>132</v>
      </c>
      <c r="E10" s="158">
        <v>2</v>
      </c>
      <c r="F10" s="159" t="s">
        <v>224</v>
      </c>
    </row>
    <row r="11" spans="1:6" ht="15">
      <c r="A11" s="156">
        <v>5</v>
      </c>
      <c r="B11" s="157" t="s">
        <v>0</v>
      </c>
      <c r="C11" s="156">
        <v>1100</v>
      </c>
      <c r="D11" s="100" t="s">
        <v>137</v>
      </c>
      <c r="E11" s="158">
        <v>4.9</v>
      </c>
      <c r="F11" s="159" t="s">
        <v>214</v>
      </c>
    </row>
    <row r="12" spans="1:6" ht="15">
      <c r="A12" s="156">
        <v>6</v>
      </c>
      <c r="B12" s="157" t="s">
        <v>0</v>
      </c>
      <c r="C12" s="156">
        <v>1096</v>
      </c>
      <c r="D12" s="100" t="s">
        <v>133</v>
      </c>
      <c r="E12" s="158">
        <v>4.7</v>
      </c>
      <c r="F12" s="159" t="s">
        <v>225</v>
      </c>
    </row>
    <row r="13" spans="1:6" ht="15">
      <c r="A13" s="156">
        <v>7</v>
      </c>
      <c r="B13" s="160" t="s">
        <v>0</v>
      </c>
      <c r="C13" s="26">
        <v>1105</v>
      </c>
      <c r="D13" s="96" t="s">
        <v>90</v>
      </c>
      <c r="E13" s="161">
        <v>213.5</v>
      </c>
      <c r="F13" s="96" t="s">
        <v>214</v>
      </c>
    </row>
    <row r="14" spans="1:6" s="20" customFormat="1" ht="15">
      <c r="A14" s="156">
        <v>8</v>
      </c>
      <c r="B14" s="160" t="s">
        <v>0</v>
      </c>
      <c r="C14" s="26">
        <v>1084</v>
      </c>
      <c r="D14" s="96" t="s">
        <v>53</v>
      </c>
      <c r="E14" s="161">
        <v>350</v>
      </c>
      <c r="F14" s="96" t="s">
        <v>223</v>
      </c>
    </row>
    <row r="15" spans="1:6" s="34" customFormat="1" ht="15">
      <c r="A15" s="156">
        <v>9</v>
      </c>
      <c r="B15" s="160" t="s">
        <v>0</v>
      </c>
      <c r="C15" s="26">
        <v>1191</v>
      </c>
      <c r="D15" s="96" t="s">
        <v>204</v>
      </c>
      <c r="E15" s="161">
        <v>4.64</v>
      </c>
      <c r="F15" s="96" t="s">
        <v>214</v>
      </c>
    </row>
    <row r="16" spans="1:6" s="20" customFormat="1" ht="15">
      <c r="A16" s="156">
        <v>10</v>
      </c>
      <c r="B16" s="160" t="s">
        <v>0</v>
      </c>
      <c r="C16" s="26">
        <v>1135</v>
      </c>
      <c r="D16" s="96" t="s">
        <v>181</v>
      </c>
      <c r="E16" s="161">
        <v>16</v>
      </c>
      <c r="F16" s="96" t="s">
        <v>214</v>
      </c>
    </row>
    <row r="17" spans="1:6" s="20" customFormat="1" ht="15">
      <c r="A17" s="156">
        <v>11</v>
      </c>
      <c r="B17" s="160" t="s">
        <v>0</v>
      </c>
      <c r="C17" s="26">
        <v>1280</v>
      </c>
      <c r="D17" s="96" t="s">
        <v>199</v>
      </c>
      <c r="E17" s="161">
        <v>5.77</v>
      </c>
      <c r="F17" s="96" t="s">
        <v>214</v>
      </c>
    </row>
    <row r="18" spans="1:6" s="20" customFormat="1" ht="15">
      <c r="A18" s="156">
        <v>12</v>
      </c>
      <c r="B18" s="160" t="s">
        <v>0</v>
      </c>
      <c r="C18" s="26">
        <v>1113</v>
      </c>
      <c r="D18" s="96" t="s">
        <v>52</v>
      </c>
      <c r="E18" s="161">
        <v>120</v>
      </c>
      <c r="F18" s="26" t="s">
        <v>234</v>
      </c>
    </row>
    <row r="19" s="20" customFormat="1" ht="12.75"/>
    <row r="20" spans="1:6" s="20" customFormat="1" ht="16.5" thickBot="1">
      <c r="A20" s="162" t="s">
        <v>297</v>
      </c>
      <c r="B20" s="163"/>
      <c r="C20" s="164"/>
      <c r="D20" s="104"/>
      <c r="E20" s="165"/>
      <c r="F20" s="166"/>
    </row>
    <row r="21" spans="1:6" ht="15">
      <c r="A21" s="65">
        <v>13</v>
      </c>
      <c r="B21" s="167" t="s">
        <v>1</v>
      </c>
      <c r="C21" s="65">
        <v>1530</v>
      </c>
      <c r="D21" s="100" t="s">
        <v>182</v>
      </c>
      <c r="E21" s="75">
        <v>586.6</v>
      </c>
      <c r="F21" s="65"/>
    </row>
    <row r="22" spans="1:6" s="20" customFormat="1" ht="15">
      <c r="A22" s="65">
        <v>14</v>
      </c>
      <c r="B22" s="157" t="s">
        <v>1</v>
      </c>
      <c r="C22" s="156">
        <v>1079</v>
      </c>
      <c r="D22" s="100" t="s">
        <v>183</v>
      </c>
      <c r="E22" s="168">
        <v>863.82</v>
      </c>
      <c r="F22" s="156"/>
    </row>
    <row r="23" spans="1:6" ht="15">
      <c r="A23" s="65">
        <v>15</v>
      </c>
      <c r="B23" s="157" t="s">
        <v>1</v>
      </c>
      <c r="C23" s="156">
        <v>1070</v>
      </c>
      <c r="D23" s="100" t="s">
        <v>184</v>
      </c>
      <c r="E23" s="168">
        <v>0.75</v>
      </c>
      <c r="F23" s="156"/>
    </row>
    <row r="24" spans="1:6" ht="15">
      <c r="A24" s="65">
        <v>16</v>
      </c>
      <c r="B24" s="157" t="s">
        <v>1</v>
      </c>
      <c r="C24" s="156">
        <v>1112</v>
      </c>
      <c r="D24" s="100" t="s">
        <v>287</v>
      </c>
      <c r="E24" s="87">
        <v>49.81</v>
      </c>
      <c r="F24" s="156"/>
    </row>
    <row r="25" spans="1:6" ht="15">
      <c r="A25" s="65">
        <v>17</v>
      </c>
      <c r="B25" s="157" t="s">
        <v>1</v>
      </c>
      <c r="C25" s="156">
        <v>1062</v>
      </c>
      <c r="D25" s="100" t="s">
        <v>117</v>
      </c>
      <c r="E25" s="87">
        <v>0.83</v>
      </c>
      <c r="F25" s="156"/>
    </row>
    <row r="26" spans="1:6" ht="15">
      <c r="A26" s="65">
        <v>18</v>
      </c>
      <c r="B26" s="157" t="s">
        <v>1</v>
      </c>
      <c r="C26" s="156">
        <v>1179</v>
      </c>
      <c r="D26" s="100" t="s">
        <v>255</v>
      </c>
      <c r="E26" s="87">
        <v>0.61</v>
      </c>
      <c r="F26" s="156"/>
    </row>
    <row r="27" spans="1:6" ht="15">
      <c r="A27" s="65">
        <v>19</v>
      </c>
      <c r="B27" s="157" t="s">
        <v>1</v>
      </c>
      <c r="C27" s="156">
        <v>1399</v>
      </c>
      <c r="D27" s="100" t="s">
        <v>249</v>
      </c>
      <c r="E27" s="87">
        <v>0.95</v>
      </c>
      <c r="F27" s="156"/>
    </row>
    <row r="28" spans="1:6" ht="15">
      <c r="A28" s="65">
        <v>20</v>
      </c>
      <c r="B28" s="160" t="s">
        <v>0</v>
      </c>
      <c r="C28" s="26">
        <v>1133</v>
      </c>
      <c r="D28" s="96" t="s">
        <v>176</v>
      </c>
      <c r="E28" s="161">
        <v>971.1</v>
      </c>
      <c r="F28" s="96"/>
    </row>
    <row r="29" spans="1:6" s="20" customFormat="1" ht="12.75">
      <c r="A29" s="147"/>
      <c r="B29" s="147"/>
      <c r="C29" s="147"/>
      <c r="D29" s="149"/>
      <c r="E29" s="169"/>
      <c r="F29" s="151"/>
    </row>
  </sheetData>
  <printOptions gridLines="1" horizontalCentered="1"/>
  <pageMargins left="0" right="0" top="0.75" bottom="1" header="0.5" footer="0.28"/>
  <pageSetup firstPageNumber="13" useFirstPageNumber="1" horizontalDpi="600" verticalDpi="600" orientation="landscape" scale="70" r:id="rId1"/>
  <headerFooter alignWithMargins="0">
    <oddFooter>&amp;R&amp;"Arial Narrow,Bold"&amp;14EUB ST101-2006: Sulphur Recovery and Sulphur Emissions at Alberta Sour Gas Plants (August 2006)    •  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264"/>
  <sheetViews>
    <sheetView zoomScale="75" zoomScaleNormal="75" workbookViewId="0" topLeftCell="N1">
      <pane ySplit="6" topLeftCell="BM12" activePane="bottomLeft" state="frozen"/>
      <selection pane="topLeft" activeCell="L1" sqref="L1"/>
      <selection pane="bottomLeft" activeCell="T24" sqref="T24"/>
    </sheetView>
  </sheetViews>
  <sheetFormatPr defaultColWidth="9.140625" defaultRowHeight="12.75"/>
  <cols>
    <col min="1" max="2" width="4.140625" style="147" customWidth="1"/>
    <col min="3" max="3" width="7.00390625" style="147" customWidth="1"/>
    <col min="4" max="4" width="9.57421875" style="147" bestFit="1" customWidth="1"/>
    <col min="5" max="5" width="55.7109375" style="147" bestFit="1" customWidth="1"/>
    <col min="6" max="7" width="43.28125" style="301" customWidth="1"/>
    <col min="8" max="8" width="8.00390625" style="147" customWidth="1"/>
    <col min="9" max="9" width="5.421875" style="147" customWidth="1"/>
    <col min="10" max="10" width="10.00390625" style="147" bestFit="1" customWidth="1"/>
    <col min="11" max="11" width="52.28125" style="147" customWidth="1"/>
    <col min="12" max="12" width="19.140625" style="301" customWidth="1"/>
    <col min="13" max="13" width="17.28125" style="301" customWidth="1"/>
    <col min="14" max="14" width="18.421875" style="147" bestFit="1" customWidth="1"/>
    <col min="15" max="15" width="20.28125" style="169" customWidth="1"/>
    <col min="16" max="16" width="21.8515625" style="301" customWidth="1"/>
    <col min="17" max="17" width="4.28125" style="273" customWidth="1"/>
    <col min="18" max="18" width="5.8515625" style="147" customWidth="1"/>
    <col min="19" max="19" width="10.00390625" style="147" customWidth="1"/>
    <col min="20" max="20" width="52.8515625" style="147" customWidth="1"/>
    <col min="21" max="21" width="20.00390625" style="414" customWidth="1"/>
    <col min="22" max="22" width="20.7109375" style="301" customWidth="1"/>
    <col min="23" max="23" width="19.140625" style="20" customWidth="1"/>
    <col min="24" max="24" width="19.8515625" style="20" customWidth="1"/>
    <col min="25" max="25" width="26.28125" style="301" customWidth="1"/>
    <col min="26" max="26" width="10.421875" style="277" bestFit="1" customWidth="1"/>
    <col min="27" max="27" width="11.00390625" style="277" bestFit="1" customWidth="1"/>
    <col min="28" max="32" width="9.140625" style="277" customWidth="1"/>
    <col min="33" max="33" width="9.140625" style="147" customWidth="1"/>
    <col min="34" max="34" width="20.140625" style="147" bestFit="1" customWidth="1"/>
    <col min="35" max="35" width="13.8515625" style="147" bestFit="1" customWidth="1"/>
    <col min="36" max="36" width="20.28125" style="147" bestFit="1" customWidth="1"/>
    <col min="37" max="37" width="19.8515625" style="147" bestFit="1" customWidth="1"/>
    <col min="38" max="38" width="18.140625" style="147" bestFit="1" customWidth="1"/>
    <col min="39" max="39" width="20.28125" style="278" bestFit="1" customWidth="1"/>
    <col min="40" max="41" width="9.140625" style="147" customWidth="1"/>
    <col min="42" max="42" width="9.28125" style="147" bestFit="1" customWidth="1"/>
    <col min="43" max="16384" width="9.140625" style="147" customWidth="1"/>
  </cols>
  <sheetData>
    <row r="1" spans="1:25" ht="21" thickBot="1">
      <c r="A1" s="270" t="s">
        <v>300</v>
      </c>
      <c r="B1" s="270"/>
      <c r="C1" s="172"/>
      <c r="D1" s="172"/>
      <c r="E1" s="271"/>
      <c r="F1" s="272"/>
      <c r="G1" s="272"/>
      <c r="I1" s="270" t="s">
        <v>301</v>
      </c>
      <c r="J1" s="172"/>
      <c r="K1" s="172"/>
      <c r="L1" s="271"/>
      <c r="M1" s="172"/>
      <c r="N1" s="172"/>
      <c r="O1" s="145"/>
      <c r="P1" s="272"/>
      <c r="R1" s="270" t="s">
        <v>302</v>
      </c>
      <c r="S1" s="172"/>
      <c r="T1" s="172"/>
      <c r="U1" s="271"/>
      <c r="V1" s="172"/>
      <c r="W1" s="274"/>
      <c r="X1" s="275"/>
      <c r="Y1" s="276"/>
    </row>
    <row r="2" spans="4:25" ht="18">
      <c r="D2" s="279"/>
      <c r="E2" s="280"/>
      <c r="F2" s="147"/>
      <c r="G2" s="147"/>
      <c r="J2" s="279"/>
      <c r="K2" s="280"/>
      <c r="L2" s="281"/>
      <c r="M2" s="282"/>
      <c r="N2" s="283" t="s">
        <v>87</v>
      </c>
      <c r="O2" s="283" t="s">
        <v>35</v>
      </c>
      <c r="P2" s="282"/>
      <c r="Q2" s="284"/>
      <c r="R2" s="269"/>
      <c r="S2" s="269"/>
      <c r="T2" s="269"/>
      <c r="U2" s="285"/>
      <c r="V2" s="285"/>
      <c r="W2" s="87"/>
      <c r="X2" s="124" t="s">
        <v>35</v>
      </c>
      <c r="Y2" s="285"/>
    </row>
    <row r="3" spans="3:39" ht="18.75" thickBot="1">
      <c r="C3" s="269"/>
      <c r="D3" s="279" t="s">
        <v>36</v>
      </c>
      <c r="F3" s="419" t="s">
        <v>241</v>
      </c>
      <c r="G3" s="419"/>
      <c r="L3" s="282" t="s">
        <v>37</v>
      </c>
      <c r="M3" s="282" t="s">
        <v>38</v>
      </c>
      <c r="N3" s="283" t="s">
        <v>39</v>
      </c>
      <c r="O3" s="283" t="s">
        <v>40</v>
      </c>
      <c r="P3" s="282" t="s">
        <v>38</v>
      </c>
      <c r="Q3" s="284"/>
      <c r="U3" s="282" t="s">
        <v>41</v>
      </c>
      <c r="V3" s="282" t="s">
        <v>38</v>
      </c>
      <c r="W3" s="124" t="s">
        <v>42</v>
      </c>
      <c r="X3" s="124" t="s">
        <v>40</v>
      </c>
      <c r="Y3" s="282" t="s">
        <v>43</v>
      </c>
      <c r="AH3" s="169"/>
      <c r="AJ3" s="286"/>
      <c r="AK3" s="169"/>
      <c r="AM3" s="287"/>
    </row>
    <row r="4" spans="3:39" ht="18">
      <c r="C4" s="269"/>
      <c r="D4" s="279" t="s">
        <v>9</v>
      </c>
      <c r="E4" s="288" t="s">
        <v>207</v>
      </c>
      <c r="F4" s="281" t="s">
        <v>229</v>
      </c>
      <c r="G4" s="281" t="s">
        <v>229</v>
      </c>
      <c r="J4" s="279" t="s">
        <v>36</v>
      </c>
      <c r="L4" s="282" t="s">
        <v>44</v>
      </c>
      <c r="M4" s="282" t="s">
        <v>45</v>
      </c>
      <c r="N4" s="283" t="s">
        <v>46</v>
      </c>
      <c r="O4" s="283" t="s">
        <v>46</v>
      </c>
      <c r="P4" s="282" t="s">
        <v>47</v>
      </c>
      <c r="Q4" s="284"/>
      <c r="R4" s="269"/>
      <c r="S4" s="279" t="s">
        <v>36</v>
      </c>
      <c r="U4" s="282" t="s">
        <v>44</v>
      </c>
      <c r="V4" s="282" t="s">
        <v>45</v>
      </c>
      <c r="W4" s="124" t="s">
        <v>48</v>
      </c>
      <c r="X4" s="124" t="s">
        <v>46</v>
      </c>
      <c r="Y4" s="282" t="s">
        <v>47</v>
      </c>
      <c r="AH4" s="169"/>
      <c r="AI4" s="169"/>
      <c r="AJ4" s="289"/>
      <c r="AK4" s="169"/>
      <c r="AL4" s="169"/>
      <c r="AM4" s="290"/>
    </row>
    <row r="5" spans="3:39" ht="24" customHeight="1" thickBot="1">
      <c r="C5" s="291" t="s">
        <v>217</v>
      </c>
      <c r="D5" s="292"/>
      <c r="E5" s="293"/>
      <c r="F5" s="294" t="s">
        <v>170</v>
      </c>
      <c r="G5" s="294" t="s">
        <v>171</v>
      </c>
      <c r="J5" s="279" t="s">
        <v>9</v>
      </c>
      <c r="K5" s="288" t="s">
        <v>207</v>
      </c>
      <c r="L5" s="282" t="s">
        <v>102</v>
      </c>
      <c r="M5" s="282" t="s">
        <v>103</v>
      </c>
      <c r="N5" s="283" t="s">
        <v>49</v>
      </c>
      <c r="O5" s="283" t="s">
        <v>49</v>
      </c>
      <c r="P5" s="282" t="s">
        <v>102</v>
      </c>
      <c r="Q5" s="284"/>
      <c r="R5" s="269"/>
      <c r="S5" s="279" t="s">
        <v>9</v>
      </c>
      <c r="T5" s="288" t="s">
        <v>207</v>
      </c>
      <c r="U5" s="282" t="s">
        <v>102</v>
      </c>
      <c r="V5" s="282" t="s">
        <v>103</v>
      </c>
      <c r="W5" s="124" t="s">
        <v>49</v>
      </c>
      <c r="X5" s="124" t="s">
        <v>49</v>
      </c>
      <c r="Y5" s="282" t="s">
        <v>102</v>
      </c>
      <c r="AH5" s="169"/>
      <c r="AI5" s="169"/>
      <c r="AJ5" s="289"/>
      <c r="AK5" s="169"/>
      <c r="AL5" s="169"/>
      <c r="AM5" s="290"/>
    </row>
    <row r="6" spans="3:25" ht="18.75" thickBot="1">
      <c r="C6" s="295"/>
      <c r="D6" s="296"/>
      <c r="E6" s="297"/>
      <c r="F6" s="298"/>
      <c r="G6" s="298"/>
      <c r="I6" s="291" t="s">
        <v>203</v>
      </c>
      <c r="J6" s="172"/>
      <c r="K6" s="291"/>
      <c r="L6" s="299"/>
      <c r="M6" s="272"/>
      <c r="N6" s="172"/>
      <c r="O6" s="145"/>
      <c r="P6" s="272"/>
      <c r="R6" s="291" t="s">
        <v>217</v>
      </c>
      <c r="S6" s="172"/>
      <c r="T6" s="172"/>
      <c r="U6" s="300"/>
      <c r="V6" s="272"/>
      <c r="W6" s="274"/>
      <c r="X6" s="274"/>
      <c r="Y6" s="272"/>
    </row>
    <row r="7" spans="1:25" ht="18">
      <c r="A7" s="20"/>
      <c r="B7" s="20"/>
      <c r="I7" s="302"/>
      <c r="J7" s="178"/>
      <c r="K7" s="302"/>
      <c r="L7" s="273"/>
      <c r="M7" s="273"/>
      <c r="N7" s="178"/>
      <c r="O7" s="303"/>
      <c r="P7" s="273"/>
      <c r="R7" s="302"/>
      <c r="S7" s="178"/>
      <c r="T7" s="178"/>
      <c r="U7" s="304"/>
      <c r="V7" s="273"/>
      <c r="W7" s="34"/>
      <c r="X7" s="34"/>
      <c r="Y7" s="273"/>
    </row>
    <row r="8" spans="3:42" s="20" customFormat="1" ht="15.75">
      <c r="C8" s="305">
        <v>1</v>
      </c>
      <c r="D8" s="64">
        <v>1034</v>
      </c>
      <c r="E8" s="210" t="s">
        <v>247</v>
      </c>
      <c r="F8" s="306">
        <f>Y8-P8</f>
        <v>-186303.9</v>
      </c>
      <c r="G8" s="307">
        <f aca="true" t="shared" si="0" ref="G8:G35">V8-M8</f>
        <v>-3559.5000000000005</v>
      </c>
      <c r="I8" s="305">
        <v>1</v>
      </c>
      <c r="J8" s="64">
        <v>1034</v>
      </c>
      <c r="K8" s="210" t="s">
        <v>247</v>
      </c>
      <c r="L8" s="306">
        <v>286311.3</v>
      </c>
      <c r="M8" s="306">
        <v>4616.6</v>
      </c>
      <c r="N8" s="308">
        <v>0.9844482263310935</v>
      </c>
      <c r="O8" s="87">
        <v>98.3</v>
      </c>
      <c r="P8" s="306">
        <v>292237</v>
      </c>
      <c r="Q8" s="309"/>
      <c r="R8" s="305">
        <v>1</v>
      </c>
      <c r="S8" s="67">
        <v>1034</v>
      </c>
      <c r="T8" s="310" t="s">
        <v>246</v>
      </c>
      <c r="U8" s="69">
        <v>107519.5</v>
      </c>
      <c r="V8" s="311">
        <v>1057.1</v>
      </c>
      <c r="W8" s="308">
        <v>0.9901</v>
      </c>
      <c r="X8" s="112">
        <v>98.3</v>
      </c>
      <c r="Y8" s="312">
        <v>105933.1</v>
      </c>
      <c r="AA8" s="313"/>
      <c r="AH8" s="314"/>
      <c r="AI8" s="314"/>
      <c r="AJ8" s="278"/>
      <c r="AK8" s="315"/>
      <c r="AL8" s="314"/>
      <c r="AM8" s="278"/>
      <c r="AP8" s="316"/>
    </row>
    <row r="9" spans="3:39" s="20" customFormat="1" ht="15.75">
      <c r="C9" s="305">
        <v>2</v>
      </c>
      <c r="D9" s="64">
        <v>1108</v>
      </c>
      <c r="E9" s="317" t="s">
        <v>187</v>
      </c>
      <c r="F9" s="306">
        <v>-35158.5</v>
      </c>
      <c r="G9" s="307">
        <f t="shared" si="0"/>
        <v>-2073.9</v>
      </c>
      <c r="I9" s="305">
        <v>2</v>
      </c>
      <c r="J9" s="64">
        <v>1108</v>
      </c>
      <c r="K9" s="317" t="s">
        <v>187</v>
      </c>
      <c r="L9" s="306">
        <v>36697</v>
      </c>
      <c r="M9" s="306">
        <v>2152.6</v>
      </c>
      <c r="N9" s="308">
        <v>0.9423067130156978</v>
      </c>
      <c r="O9" s="87">
        <v>92.1</v>
      </c>
      <c r="P9" s="306">
        <v>35158.5</v>
      </c>
      <c r="Q9" s="309"/>
      <c r="R9" s="305">
        <v>2</v>
      </c>
      <c r="S9" s="67">
        <v>1108</v>
      </c>
      <c r="T9" s="317" t="s">
        <v>187</v>
      </c>
      <c r="U9" s="69">
        <v>49868.7</v>
      </c>
      <c r="V9" s="311">
        <v>78.7</v>
      </c>
      <c r="W9" s="308">
        <v>0.9983977295400037</v>
      </c>
      <c r="X9" s="112">
        <v>98.4</v>
      </c>
      <c r="Y9" s="69" t="s">
        <v>239</v>
      </c>
      <c r="Z9" s="318"/>
      <c r="AA9" s="313"/>
      <c r="AH9" s="314"/>
      <c r="AI9" s="314"/>
      <c r="AJ9" s="278"/>
      <c r="AK9" s="315"/>
      <c r="AL9" s="314"/>
      <c r="AM9" s="278"/>
    </row>
    <row r="10" spans="3:42" s="20" customFormat="1" ht="15.75">
      <c r="C10" s="305">
        <v>3</v>
      </c>
      <c r="D10" s="64">
        <v>1107</v>
      </c>
      <c r="E10" s="317" t="s">
        <v>230</v>
      </c>
      <c r="F10" s="306">
        <f aca="true" t="shared" si="1" ref="F10:F16">Y10-P10</f>
        <v>-146590.4</v>
      </c>
      <c r="G10" s="307">
        <f t="shared" si="0"/>
        <v>-1621.3000000000002</v>
      </c>
      <c r="I10" s="305">
        <v>3</v>
      </c>
      <c r="J10" s="64">
        <v>1107</v>
      </c>
      <c r="K10" s="317" t="s">
        <v>230</v>
      </c>
      <c r="L10" s="306">
        <v>234341.8</v>
      </c>
      <c r="M10" s="306">
        <v>2756.9</v>
      </c>
      <c r="N10" s="308">
        <v>0.9890983175217931</v>
      </c>
      <c r="O10" s="87">
        <v>98.4</v>
      </c>
      <c r="P10" s="306">
        <v>250134.3</v>
      </c>
      <c r="Q10" s="309"/>
      <c r="R10" s="305">
        <v>3</v>
      </c>
      <c r="S10" s="67">
        <v>1107</v>
      </c>
      <c r="T10" s="317" t="s">
        <v>230</v>
      </c>
      <c r="U10" s="69">
        <v>105192.4</v>
      </c>
      <c r="V10" s="311">
        <v>1135.6</v>
      </c>
      <c r="W10" s="308">
        <v>0.9892</v>
      </c>
      <c r="X10" s="112">
        <v>98.4</v>
      </c>
      <c r="Y10" s="319">
        <v>103543.9</v>
      </c>
      <c r="AA10" s="313"/>
      <c r="AH10" s="314"/>
      <c r="AI10" s="314"/>
      <c r="AJ10" s="278"/>
      <c r="AK10" s="315"/>
      <c r="AL10" s="314"/>
      <c r="AM10" s="278"/>
      <c r="AP10" s="320"/>
    </row>
    <row r="11" spans="3:39" s="20" customFormat="1" ht="15.75">
      <c r="C11" s="305">
        <v>4</v>
      </c>
      <c r="D11" s="64">
        <v>1141</v>
      </c>
      <c r="E11" s="210" t="s">
        <v>111</v>
      </c>
      <c r="F11" s="306">
        <f t="shared" si="1"/>
        <v>-106152.62</v>
      </c>
      <c r="G11" s="307">
        <f t="shared" si="0"/>
        <v>-1229.17</v>
      </c>
      <c r="I11" s="305">
        <v>4</v>
      </c>
      <c r="J11" s="64">
        <v>1141</v>
      </c>
      <c r="K11" s="210" t="s">
        <v>111</v>
      </c>
      <c r="L11" s="306">
        <v>791052.9</v>
      </c>
      <c r="M11" s="306">
        <v>7877.7</v>
      </c>
      <c r="N11" s="308">
        <v>0.9900141217934812</v>
      </c>
      <c r="O11" s="87">
        <v>98.1</v>
      </c>
      <c r="P11" s="306">
        <v>781009.32</v>
      </c>
      <c r="Q11" s="309"/>
      <c r="R11" s="305">
        <v>4</v>
      </c>
      <c r="S11" s="67">
        <v>1141</v>
      </c>
      <c r="T11" s="310" t="s">
        <v>111</v>
      </c>
      <c r="U11" s="69">
        <v>681207.5</v>
      </c>
      <c r="V11" s="311">
        <v>6648.53</v>
      </c>
      <c r="W11" s="308">
        <v>0.9902</v>
      </c>
      <c r="X11" s="112">
        <v>98.1</v>
      </c>
      <c r="Y11" s="311">
        <v>674856.7</v>
      </c>
      <c r="AA11" s="313"/>
      <c r="AH11" s="314"/>
      <c r="AI11" s="314"/>
      <c r="AJ11" s="278"/>
      <c r="AK11" s="315"/>
      <c r="AL11" s="314"/>
      <c r="AM11" s="278"/>
    </row>
    <row r="12" spans="3:42" s="20" customFormat="1" ht="15.75">
      <c r="C12" s="305">
        <v>5</v>
      </c>
      <c r="D12" s="64">
        <v>1144</v>
      </c>
      <c r="E12" s="317" t="s">
        <v>193</v>
      </c>
      <c r="F12" s="306">
        <f t="shared" si="1"/>
        <v>-11379.600000000035</v>
      </c>
      <c r="G12" s="307">
        <f t="shared" si="0"/>
        <v>-1071.5</v>
      </c>
      <c r="I12" s="305">
        <v>5</v>
      </c>
      <c r="J12" s="64">
        <v>1144</v>
      </c>
      <c r="K12" s="317" t="s">
        <v>193</v>
      </c>
      <c r="L12" s="306">
        <v>360565.8</v>
      </c>
      <c r="M12" s="306">
        <v>6646.1</v>
      </c>
      <c r="N12" s="308">
        <v>0.9823408515110088</v>
      </c>
      <c r="O12" s="87">
        <v>98.1</v>
      </c>
      <c r="P12" s="306">
        <v>369708.4</v>
      </c>
      <c r="Q12" s="309"/>
      <c r="R12" s="305">
        <v>5</v>
      </c>
      <c r="S12" s="67">
        <v>1144</v>
      </c>
      <c r="T12" s="317" t="s">
        <v>193</v>
      </c>
      <c r="U12" s="69">
        <v>348620.5</v>
      </c>
      <c r="V12" s="311">
        <v>5574.6</v>
      </c>
      <c r="W12" s="308">
        <v>0.9847</v>
      </c>
      <c r="X12" s="112">
        <v>98.1</v>
      </c>
      <c r="Y12" s="311">
        <v>358328.8</v>
      </c>
      <c r="AA12" s="313"/>
      <c r="AH12" s="314"/>
      <c r="AI12" s="314"/>
      <c r="AJ12" s="278"/>
      <c r="AK12" s="315"/>
      <c r="AL12" s="314"/>
      <c r="AM12" s="278"/>
      <c r="AP12" s="321"/>
    </row>
    <row r="13" spans="3:42" s="20" customFormat="1" ht="15.75">
      <c r="C13" s="305">
        <v>6</v>
      </c>
      <c r="D13" s="64">
        <v>1037</v>
      </c>
      <c r="E13" s="317" t="s">
        <v>50</v>
      </c>
      <c r="F13" s="306">
        <f t="shared" si="1"/>
        <v>4546.399999999994</v>
      </c>
      <c r="G13" s="307">
        <f t="shared" si="0"/>
        <v>-978</v>
      </c>
      <c r="I13" s="305">
        <v>6</v>
      </c>
      <c r="J13" s="64">
        <v>1037</v>
      </c>
      <c r="K13" s="317" t="s">
        <v>50</v>
      </c>
      <c r="L13" s="306">
        <v>161744.1</v>
      </c>
      <c r="M13" s="306">
        <v>5509.7</v>
      </c>
      <c r="N13" s="308">
        <v>0.9664107813241088</v>
      </c>
      <c r="O13" s="87">
        <v>96.2</v>
      </c>
      <c r="P13" s="306">
        <v>158522.1</v>
      </c>
      <c r="Q13" s="309"/>
      <c r="R13" s="305">
        <v>6</v>
      </c>
      <c r="S13" s="67">
        <v>1037</v>
      </c>
      <c r="T13" s="317" t="s">
        <v>50</v>
      </c>
      <c r="U13" s="69">
        <v>164722.6</v>
      </c>
      <c r="V13" s="311">
        <v>4531.7</v>
      </c>
      <c r="W13" s="308">
        <v>0.973</v>
      </c>
      <c r="X13" s="112">
        <v>96.2</v>
      </c>
      <c r="Y13" s="311">
        <v>163068.5</v>
      </c>
      <c r="AA13" s="313"/>
      <c r="AH13" s="314"/>
      <c r="AI13" s="314"/>
      <c r="AJ13" s="278"/>
      <c r="AK13" s="315"/>
      <c r="AL13" s="314"/>
      <c r="AM13" s="278"/>
      <c r="AP13" s="321"/>
    </row>
    <row r="14" spans="1:39" s="20" customFormat="1" ht="18">
      <c r="A14" s="322"/>
      <c r="B14" s="322"/>
      <c r="C14" s="305">
        <v>7</v>
      </c>
      <c r="D14" s="64">
        <v>1131</v>
      </c>
      <c r="E14" s="317" t="s">
        <v>60</v>
      </c>
      <c r="F14" s="306">
        <f t="shared" si="1"/>
        <v>-32998.5</v>
      </c>
      <c r="G14" s="307">
        <f t="shared" si="0"/>
        <v>-778.0999999999999</v>
      </c>
      <c r="I14" s="305">
        <v>7</v>
      </c>
      <c r="J14" s="64">
        <v>1131</v>
      </c>
      <c r="K14" s="317" t="s">
        <v>60</v>
      </c>
      <c r="L14" s="306">
        <v>156959.7</v>
      </c>
      <c r="M14" s="306">
        <v>4844</v>
      </c>
      <c r="N14" s="308">
        <v>0.9691385357369258</v>
      </c>
      <c r="O14" s="87">
        <v>96.5</v>
      </c>
      <c r="P14" s="306">
        <v>152115.5</v>
      </c>
      <c r="Q14" s="309"/>
      <c r="R14" s="305">
        <v>7</v>
      </c>
      <c r="S14" s="67">
        <v>1131</v>
      </c>
      <c r="T14" s="317" t="s">
        <v>60</v>
      </c>
      <c r="U14" s="69">
        <v>120599.7</v>
      </c>
      <c r="V14" s="311">
        <v>4065.9</v>
      </c>
      <c r="W14" s="308">
        <v>0.967</v>
      </c>
      <c r="X14" s="323">
        <v>96.5</v>
      </c>
      <c r="Y14" s="311">
        <v>119117</v>
      </c>
      <c r="AA14" s="313"/>
      <c r="AH14" s="314"/>
      <c r="AI14" s="314"/>
      <c r="AJ14" s="278"/>
      <c r="AK14" s="315"/>
      <c r="AL14" s="314"/>
      <c r="AM14" s="278"/>
    </row>
    <row r="15" spans="3:42" s="20" customFormat="1" ht="15.75">
      <c r="C15" s="305">
        <v>8</v>
      </c>
      <c r="D15" s="64">
        <v>1084</v>
      </c>
      <c r="E15" s="317" t="s">
        <v>53</v>
      </c>
      <c r="F15" s="306">
        <f t="shared" si="1"/>
        <v>-15231.729999999996</v>
      </c>
      <c r="G15" s="307">
        <f t="shared" si="0"/>
        <v>-568</v>
      </c>
      <c r="I15" s="305">
        <v>8</v>
      </c>
      <c r="J15" s="64">
        <v>1084</v>
      </c>
      <c r="K15" s="317" t="s">
        <v>53</v>
      </c>
      <c r="L15" s="306">
        <v>73009.3</v>
      </c>
      <c r="M15" s="306">
        <v>1421.2</v>
      </c>
      <c r="N15" s="308">
        <v>0.980989616983299</v>
      </c>
      <c r="O15" s="87">
        <v>97.9</v>
      </c>
      <c r="P15" s="306">
        <v>73337.43</v>
      </c>
      <c r="Q15" s="309"/>
      <c r="R15" s="305">
        <v>8</v>
      </c>
      <c r="S15" s="67">
        <v>1084</v>
      </c>
      <c r="T15" s="317" t="s">
        <v>53</v>
      </c>
      <c r="U15" s="69">
        <v>58950.5</v>
      </c>
      <c r="V15" s="311">
        <v>853.2</v>
      </c>
      <c r="W15" s="308">
        <v>0.9855</v>
      </c>
      <c r="X15" s="112">
        <v>98.4</v>
      </c>
      <c r="Y15" s="311">
        <v>58105.7</v>
      </c>
      <c r="AA15" s="313"/>
      <c r="AH15" s="314"/>
      <c r="AI15" s="314"/>
      <c r="AJ15" s="278"/>
      <c r="AK15" s="315"/>
      <c r="AL15" s="314"/>
      <c r="AM15" s="278"/>
      <c r="AP15" s="320"/>
    </row>
    <row r="16" spans="3:42" s="20" customFormat="1" ht="15.75">
      <c r="C16" s="305">
        <v>9</v>
      </c>
      <c r="D16" s="64">
        <v>1081</v>
      </c>
      <c r="E16" s="317" t="s">
        <v>85</v>
      </c>
      <c r="F16" s="306">
        <f t="shared" si="1"/>
        <v>-21879.399999999998</v>
      </c>
      <c r="G16" s="307">
        <f t="shared" si="0"/>
        <v>-563.99</v>
      </c>
      <c r="I16" s="305">
        <v>9</v>
      </c>
      <c r="J16" s="64">
        <v>1081</v>
      </c>
      <c r="K16" s="317" t="s">
        <v>85</v>
      </c>
      <c r="L16" s="306">
        <v>57618</v>
      </c>
      <c r="M16" s="306">
        <v>1833.9</v>
      </c>
      <c r="N16" s="308">
        <v>0.967159253685986</v>
      </c>
      <c r="O16" s="87">
        <v>95.5</v>
      </c>
      <c r="P16" s="306">
        <v>54008.02</v>
      </c>
      <c r="Q16" s="309"/>
      <c r="R16" s="305">
        <v>9</v>
      </c>
      <c r="S16" s="67">
        <v>1081</v>
      </c>
      <c r="T16" s="317" t="s">
        <v>85</v>
      </c>
      <c r="U16" s="69">
        <v>33704.34</v>
      </c>
      <c r="V16" s="311">
        <v>1269.91</v>
      </c>
      <c r="W16" s="308">
        <v>0.962</v>
      </c>
      <c r="X16" s="112">
        <v>95.5</v>
      </c>
      <c r="Y16" s="311">
        <v>32128.62</v>
      </c>
      <c r="AA16" s="313"/>
      <c r="AH16" s="314"/>
      <c r="AI16" s="314"/>
      <c r="AJ16" s="278"/>
      <c r="AK16" s="315"/>
      <c r="AL16" s="314"/>
      <c r="AM16" s="278"/>
      <c r="AP16" s="321"/>
    </row>
    <row r="17" spans="3:39" s="20" customFormat="1" ht="15.75">
      <c r="C17" s="305">
        <v>10</v>
      </c>
      <c r="D17" s="64">
        <v>1219</v>
      </c>
      <c r="E17" s="317" t="s">
        <v>55</v>
      </c>
      <c r="F17" s="306">
        <v>-14405.1</v>
      </c>
      <c r="G17" s="307">
        <f t="shared" si="0"/>
        <v>-563.67</v>
      </c>
      <c r="I17" s="305">
        <v>10</v>
      </c>
      <c r="J17" s="64">
        <v>1219</v>
      </c>
      <c r="K17" s="317" t="s">
        <v>55</v>
      </c>
      <c r="L17" s="306">
        <v>15117.5</v>
      </c>
      <c r="M17" s="306">
        <v>583.9</v>
      </c>
      <c r="N17" s="308">
        <v>0.961044766161852</v>
      </c>
      <c r="O17" s="324">
        <v>92</v>
      </c>
      <c r="P17" s="306">
        <v>14405.1</v>
      </c>
      <c r="Q17" s="309"/>
      <c r="R17" s="305">
        <v>10</v>
      </c>
      <c r="S17" s="67">
        <v>1219</v>
      </c>
      <c r="T17" s="317" t="s">
        <v>55</v>
      </c>
      <c r="U17" s="69">
        <v>8802.06</v>
      </c>
      <c r="V17" s="311">
        <v>20.23</v>
      </c>
      <c r="W17" s="308">
        <v>0</v>
      </c>
      <c r="X17" s="323">
        <v>92</v>
      </c>
      <c r="Y17" s="325" t="s">
        <v>242</v>
      </c>
      <c r="AH17" s="314"/>
      <c r="AI17" s="314"/>
      <c r="AJ17" s="278"/>
      <c r="AK17" s="315"/>
      <c r="AL17" s="314"/>
      <c r="AM17" s="278"/>
    </row>
    <row r="18" spans="3:42" s="20" customFormat="1" ht="15.75">
      <c r="C18" s="305">
        <v>11</v>
      </c>
      <c r="D18" s="64">
        <v>1206</v>
      </c>
      <c r="E18" s="210" t="s">
        <v>109</v>
      </c>
      <c r="F18" s="306">
        <f aca="true" t="shared" si="2" ref="F18:F35">Y18-P18</f>
        <v>-12290.7</v>
      </c>
      <c r="G18" s="307">
        <f t="shared" si="0"/>
        <v>-499.6</v>
      </c>
      <c r="I18" s="305">
        <v>11</v>
      </c>
      <c r="J18" s="64">
        <v>1206</v>
      </c>
      <c r="K18" s="210" t="s">
        <v>109</v>
      </c>
      <c r="L18" s="306">
        <v>10771.6</v>
      </c>
      <c r="M18" s="306">
        <v>499.6</v>
      </c>
      <c r="N18" s="308">
        <v>0.9609383978965327</v>
      </c>
      <c r="O18" s="87">
        <v>94.6</v>
      </c>
      <c r="P18" s="306">
        <v>12290.7</v>
      </c>
      <c r="Q18" s="309"/>
      <c r="R18" s="305">
        <v>11</v>
      </c>
      <c r="S18" s="67">
        <v>1206</v>
      </c>
      <c r="T18" s="310" t="s">
        <v>109</v>
      </c>
      <c r="U18" s="69">
        <v>0</v>
      </c>
      <c r="V18" s="311">
        <v>0</v>
      </c>
      <c r="W18" s="308">
        <v>0</v>
      </c>
      <c r="X18" s="323">
        <v>0</v>
      </c>
      <c r="Y18" s="311">
        <v>0</v>
      </c>
      <c r="AA18" s="313"/>
      <c r="AH18" s="314"/>
      <c r="AI18" s="314"/>
      <c r="AJ18" s="278"/>
      <c r="AK18" s="315"/>
      <c r="AL18" s="314"/>
      <c r="AM18" s="278"/>
      <c r="AP18" s="320"/>
    </row>
    <row r="19" spans="3:39" s="20" customFormat="1" ht="15.75">
      <c r="C19" s="305">
        <v>12</v>
      </c>
      <c r="D19" s="64">
        <v>1056</v>
      </c>
      <c r="E19" s="317" t="s">
        <v>51</v>
      </c>
      <c r="F19" s="306">
        <f t="shared" si="2"/>
        <v>-153658.19999999995</v>
      </c>
      <c r="G19" s="307">
        <f t="shared" si="0"/>
        <v>-495.22000000000025</v>
      </c>
      <c r="I19" s="305">
        <v>12</v>
      </c>
      <c r="J19" s="64">
        <v>1056</v>
      </c>
      <c r="K19" s="317" t="s">
        <v>51</v>
      </c>
      <c r="L19" s="306">
        <v>671377.4</v>
      </c>
      <c r="M19" s="306">
        <v>6233.1</v>
      </c>
      <c r="N19" s="308">
        <v>0.9909065967548031</v>
      </c>
      <c r="O19" s="87">
        <v>98.7</v>
      </c>
      <c r="P19" s="306">
        <v>679224.2</v>
      </c>
      <c r="Q19" s="309"/>
      <c r="R19" s="305">
        <v>12</v>
      </c>
      <c r="S19" s="67">
        <v>1056</v>
      </c>
      <c r="T19" s="317" t="s">
        <v>51</v>
      </c>
      <c r="U19" s="69">
        <v>523645.9</v>
      </c>
      <c r="V19" s="311">
        <v>5737.88</v>
      </c>
      <c r="W19" s="308">
        <v>0.9892</v>
      </c>
      <c r="X19" s="112">
        <v>98.7</v>
      </c>
      <c r="Y19" s="311">
        <v>525566</v>
      </c>
      <c r="AA19" s="313"/>
      <c r="AH19" s="314"/>
      <c r="AI19" s="314"/>
      <c r="AJ19" s="278"/>
      <c r="AK19" s="315"/>
      <c r="AL19" s="314"/>
      <c r="AM19" s="278"/>
    </row>
    <row r="20" spans="3:42" s="20" customFormat="1" ht="15.75">
      <c r="C20" s="305">
        <v>13</v>
      </c>
      <c r="D20" s="64">
        <v>1113</v>
      </c>
      <c r="E20" s="317" t="s">
        <v>52</v>
      </c>
      <c r="F20" s="306">
        <f t="shared" si="2"/>
        <v>-23687.45</v>
      </c>
      <c r="G20" s="307">
        <f t="shared" si="0"/>
        <v>-491.79999999999995</v>
      </c>
      <c r="I20" s="305">
        <v>13</v>
      </c>
      <c r="J20" s="64">
        <v>1113</v>
      </c>
      <c r="K20" s="317" t="s">
        <v>52</v>
      </c>
      <c r="L20" s="306">
        <v>32358.2</v>
      </c>
      <c r="M20" s="306">
        <v>793.8</v>
      </c>
      <c r="N20" s="308">
        <v>0.9752186962078505</v>
      </c>
      <c r="O20" s="87">
        <v>96.5</v>
      </c>
      <c r="P20" s="306">
        <v>31239.2</v>
      </c>
      <c r="Q20" s="309"/>
      <c r="R20" s="305">
        <v>13</v>
      </c>
      <c r="S20" s="67">
        <v>1113</v>
      </c>
      <c r="T20" s="317" t="s">
        <v>52</v>
      </c>
      <c r="U20" s="69">
        <v>7838.73</v>
      </c>
      <c r="V20" s="311">
        <v>302</v>
      </c>
      <c r="W20" s="308">
        <v>0.9615</v>
      </c>
      <c r="X20" s="326">
        <v>98.3</v>
      </c>
      <c r="Y20" s="311">
        <v>7551.75</v>
      </c>
      <c r="AA20" s="313"/>
      <c r="AH20" s="314"/>
      <c r="AI20" s="314"/>
      <c r="AJ20" s="278"/>
      <c r="AK20" s="315"/>
      <c r="AL20" s="314"/>
      <c r="AM20" s="278"/>
      <c r="AP20" s="321"/>
    </row>
    <row r="21" spans="3:39" s="20" customFormat="1" ht="15.75">
      <c r="C21" s="305">
        <v>14</v>
      </c>
      <c r="D21" s="64">
        <v>1104</v>
      </c>
      <c r="E21" s="210" t="s">
        <v>106</v>
      </c>
      <c r="F21" s="306">
        <f t="shared" si="2"/>
        <v>-2186.01</v>
      </c>
      <c r="G21" s="307">
        <f t="shared" si="0"/>
        <v>-349.5</v>
      </c>
      <c r="I21" s="305">
        <v>14</v>
      </c>
      <c r="J21" s="64">
        <v>1104</v>
      </c>
      <c r="K21" s="210" t="s">
        <v>106</v>
      </c>
      <c r="L21" s="306">
        <v>2483.7</v>
      </c>
      <c r="M21" s="306">
        <v>349.5</v>
      </c>
      <c r="N21" s="308">
        <v>0.8621613094064288</v>
      </c>
      <c r="O21" s="324">
        <v>85</v>
      </c>
      <c r="P21" s="306">
        <v>2186.01</v>
      </c>
      <c r="Q21" s="309"/>
      <c r="R21" s="305">
        <v>14</v>
      </c>
      <c r="S21" s="67">
        <v>1104</v>
      </c>
      <c r="T21" s="310" t="s">
        <v>106</v>
      </c>
      <c r="U21" s="69">
        <v>0</v>
      </c>
      <c r="V21" s="311">
        <v>0</v>
      </c>
      <c r="W21" s="308">
        <v>0</v>
      </c>
      <c r="X21" s="323">
        <v>85</v>
      </c>
      <c r="Y21" s="311">
        <v>0</v>
      </c>
      <c r="AA21" s="313"/>
      <c r="AH21" s="314"/>
      <c r="AI21" s="314"/>
      <c r="AJ21" s="278"/>
      <c r="AK21" s="315"/>
      <c r="AL21" s="314"/>
      <c r="AM21" s="278"/>
    </row>
    <row r="22" spans="3:42" s="20" customFormat="1" ht="15.75">
      <c r="C22" s="305">
        <v>15</v>
      </c>
      <c r="D22" s="64">
        <v>1133</v>
      </c>
      <c r="E22" s="317" t="s">
        <v>176</v>
      </c>
      <c r="F22" s="306">
        <f t="shared" si="2"/>
        <v>-41600.100000000006</v>
      </c>
      <c r="G22" s="307">
        <f t="shared" si="0"/>
        <v>-316.69999999999993</v>
      </c>
      <c r="I22" s="305">
        <v>15</v>
      </c>
      <c r="J22" s="64">
        <v>1133</v>
      </c>
      <c r="K22" s="317" t="s">
        <v>176</v>
      </c>
      <c r="L22" s="306">
        <v>97769.5</v>
      </c>
      <c r="M22" s="306">
        <v>1169.6</v>
      </c>
      <c r="N22" s="308">
        <v>0.9881016325666943</v>
      </c>
      <c r="O22" s="87">
        <v>98.1</v>
      </c>
      <c r="P22" s="306">
        <v>97129.6</v>
      </c>
      <c r="Q22" s="309"/>
      <c r="R22" s="305">
        <v>15</v>
      </c>
      <c r="S22" s="67">
        <v>1133</v>
      </c>
      <c r="T22" s="317" t="s">
        <v>176</v>
      </c>
      <c r="U22" s="69">
        <v>57407.3</v>
      </c>
      <c r="V22" s="311">
        <v>852.9</v>
      </c>
      <c r="W22" s="308">
        <v>0.9849</v>
      </c>
      <c r="X22" s="326">
        <v>98.4</v>
      </c>
      <c r="Y22" s="311">
        <v>55529.5</v>
      </c>
      <c r="AA22" s="313"/>
      <c r="AH22" s="314"/>
      <c r="AI22" s="314"/>
      <c r="AJ22" s="278"/>
      <c r="AK22" s="315"/>
      <c r="AL22" s="314"/>
      <c r="AM22" s="278"/>
      <c r="AP22" s="321"/>
    </row>
    <row r="23" spans="3:39" s="20" customFormat="1" ht="15.75">
      <c r="C23" s="305">
        <v>16</v>
      </c>
      <c r="D23" s="64">
        <v>1112</v>
      </c>
      <c r="E23" s="210" t="s">
        <v>231</v>
      </c>
      <c r="F23" s="306">
        <f t="shared" si="2"/>
        <v>-7024.399999999998</v>
      </c>
      <c r="G23" s="307">
        <f t="shared" si="0"/>
        <v>-313.1700000000001</v>
      </c>
      <c r="I23" s="305">
        <v>16</v>
      </c>
      <c r="J23" s="64">
        <v>1112</v>
      </c>
      <c r="K23" s="210" t="s">
        <v>231</v>
      </c>
      <c r="L23" s="306">
        <v>18698.9</v>
      </c>
      <c r="M23" s="306">
        <v>729.2</v>
      </c>
      <c r="N23" s="308">
        <v>0.9619917332541059</v>
      </c>
      <c r="O23" s="324">
        <v>94</v>
      </c>
      <c r="P23" s="306">
        <v>18456.1</v>
      </c>
      <c r="Q23" s="309"/>
      <c r="R23" s="305">
        <v>16</v>
      </c>
      <c r="S23" s="67">
        <v>1112</v>
      </c>
      <c r="T23" s="310" t="s">
        <v>231</v>
      </c>
      <c r="U23" s="69">
        <v>11969.83</v>
      </c>
      <c r="V23" s="311">
        <v>416.03</v>
      </c>
      <c r="W23" s="308">
        <v>0.9649</v>
      </c>
      <c r="X23" s="323">
        <v>95.9</v>
      </c>
      <c r="Y23" s="311">
        <v>11431.7</v>
      </c>
      <c r="AA23" s="313"/>
      <c r="AH23" s="314"/>
      <c r="AI23" s="314"/>
      <c r="AJ23" s="278"/>
      <c r="AK23" s="315"/>
      <c r="AL23" s="314"/>
      <c r="AM23" s="278"/>
    </row>
    <row r="24" spans="3:39" s="20" customFormat="1" ht="15.75">
      <c r="C24" s="305">
        <v>17</v>
      </c>
      <c r="D24" s="64">
        <v>1054</v>
      </c>
      <c r="E24" s="317" t="s">
        <v>59</v>
      </c>
      <c r="F24" s="306">
        <f t="shared" si="2"/>
        <v>-8739.199999999997</v>
      </c>
      <c r="G24" s="307">
        <f t="shared" si="0"/>
        <v>-259.66999999999996</v>
      </c>
      <c r="I24" s="305">
        <v>17</v>
      </c>
      <c r="J24" s="64">
        <v>1054</v>
      </c>
      <c r="K24" s="317" t="s">
        <v>59</v>
      </c>
      <c r="L24" s="306">
        <v>71413.7</v>
      </c>
      <c r="M24" s="306">
        <v>1220</v>
      </c>
      <c r="N24" s="308">
        <v>0.9820986277571048</v>
      </c>
      <c r="O24" s="87">
        <v>97.5</v>
      </c>
      <c r="P24" s="306">
        <v>66931.2</v>
      </c>
      <c r="Q24" s="309"/>
      <c r="R24" s="305">
        <v>17</v>
      </c>
      <c r="S24" s="67">
        <v>1054</v>
      </c>
      <c r="T24" s="317" t="s">
        <v>59</v>
      </c>
      <c r="U24" s="69">
        <v>60105.52</v>
      </c>
      <c r="V24" s="311">
        <v>960.33</v>
      </c>
      <c r="W24" s="308">
        <v>0.9838</v>
      </c>
      <c r="X24" s="323">
        <v>97.5</v>
      </c>
      <c r="Y24" s="311">
        <v>58192</v>
      </c>
      <c r="AA24" s="313"/>
      <c r="AH24" s="314"/>
      <c r="AI24" s="314"/>
      <c r="AJ24" s="278"/>
      <c r="AK24" s="315"/>
      <c r="AL24" s="314"/>
      <c r="AM24" s="278"/>
    </row>
    <row r="25" spans="3:39" s="20" customFormat="1" ht="15.75">
      <c r="C25" s="305">
        <v>18</v>
      </c>
      <c r="D25" s="64">
        <v>1121</v>
      </c>
      <c r="E25" s="210" t="s">
        <v>175</v>
      </c>
      <c r="F25" s="306">
        <f t="shared" si="2"/>
        <v>-4720.8</v>
      </c>
      <c r="G25" s="307">
        <f t="shared" si="0"/>
        <v>-245</v>
      </c>
      <c r="I25" s="305">
        <v>18</v>
      </c>
      <c r="J25" s="64">
        <v>1121</v>
      </c>
      <c r="K25" s="210" t="s">
        <v>175</v>
      </c>
      <c r="L25" s="306">
        <v>12991.3</v>
      </c>
      <c r="M25" s="306">
        <v>727.9</v>
      </c>
      <c r="N25" s="308">
        <v>0.9463596168017684</v>
      </c>
      <c r="O25" s="87">
        <v>93.5</v>
      </c>
      <c r="P25" s="306">
        <v>12842.1</v>
      </c>
      <c r="Q25" s="309"/>
      <c r="R25" s="305">
        <v>18</v>
      </c>
      <c r="S25" s="67">
        <v>1121</v>
      </c>
      <c r="T25" s="310" t="s">
        <v>175</v>
      </c>
      <c r="U25" s="69">
        <v>8594.9</v>
      </c>
      <c r="V25" s="311">
        <v>482.9</v>
      </c>
      <c r="W25" s="308">
        <v>0.9439</v>
      </c>
      <c r="X25" s="323">
        <v>93.5</v>
      </c>
      <c r="Y25" s="311">
        <v>8121.3</v>
      </c>
      <c r="AA25" s="313"/>
      <c r="AH25" s="314"/>
      <c r="AI25" s="314"/>
      <c r="AJ25" s="278"/>
      <c r="AK25" s="315"/>
      <c r="AL25" s="314"/>
      <c r="AM25" s="278"/>
    </row>
    <row r="26" spans="3:42" s="20" customFormat="1" ht="15.75">
      <c r="C26" s="305">
        <v>19</v>
      </c>
      <c r="D26" s="64">
        <v>1050</v>
      </c>
      <c r="E26" s="210" t="s">
        <v>107</v>
      </c>
      <c r="F26" s="306">
        <f t="shared" si="2"/>
        <v>-19827.899999999994</v>
      </c>
      <c r="G26" s="307">
        <f t="shared" si="0"/>
        <v>-243.9000000000001</v>
      </c>
      <c r="I26" s="305">
        <v>19</v>
      </c>
      <c r="J26" s="64">
        <v>1050</v>
      </c>
      <c r="K26" s="210" t="s">
        <v>107</v>
      </c>
      <c r="L26" s="306">
        <v>144323.2</v>
      </c>
      <c r="M26" s="306">
        <v>2408.8</v>
      </c>
      <c r="N26" s="308">
        <v>0.9832319439542623</v>
      </c>
      <c r="O26" s="324">
        <v>98</v>
      </c>
      <c r="P26" s="306">
        <v>141245.3</v>
      </c>
      <c r="Q26" s="309"/>
      <c r="R26" s="305">
        <v>19</v>
      </c>
      <c r="S26" s="67">
        <v>1050</v>
      </c>
      <c r="T26" s="310" t="s">
        <v>107</v>
      </c>
      <c r="U26" s="69">
        <v>124884</v>
      </c>
      <c r="V26" s="311">
        <v>2164.9</v>
      </c>
      <c r="W26" s="308">
        <v>0.9825</v>
      </c>
      <c r="X26" s="323">
        <v>98</v>
      </c>
      <c r="Y26" s="311">
        <v>121417.4</v>
      </c>
      <c r="AA26" s="313"/>
      <c r="AH26" s="314"/>
      <c r="AI26" s="314"/>
      <c r="AJ26" s="278"/>
      <c r="AK26" s="315"/>
      <c r="AL26" s="314"/>
      <c r="AM26" s="278"/>
      <c r="AP26" s="278"/>
    </row>
    <row r="27" spans="3:39" s="20" customFormat="1" ht="15.75">
      <c r="C27" s="305">
        <v>20</v>
      </c>
      <c r="D27" s="64">
        <v>1129</v>
      </c>
      <c r="E27" s="210" t="s">
        <v>108</v>
      </c>
      <c r="F27" s="306">
        <f t="shared" si="2"/>
        <v>-8030.5</v>
      </c>
      <c r="G27" s="307">
        <f t="shared" si="0"/>
        <v>-240.2</v>
      </c>
      <c r="I27" s="305">
        <v>20</v>
      </c>
      <c r="J27" s="64">
        <v>1129</v>
      </c>
      <c r="K27" s="210" t="s">
        <v>108</v>
      </c>
      <c r="L27" s="306">
        <v>20071.4</v>
      </c>
      <c r="M27" s="306">
        <v>514.9</v>
      </c>
      <c r="N27" s="308">
        <v>0.9759368910033228</v>
      </c>
      <c r="O27" s="324">
        <v>97</v>
      </c>
      <c r="P27" s="306">
        <v>20883</v>
      </c>
      <c r="Q27" s="309"/>
      <c r="R27" s="305">
        <v>20</v>
      </c>
      <c r="S27" s="67">
        <v>1129</v>
      </c>
      <c r="T27" s="310" t="s">
        <v>108</v>
      </c>
      <c r="U27" s="69">
        <v>13349.89</v>
      </c>
      <c r="V27" s="311">
        <v>274.7</v>
      </c>
      <c r="W27" s="308">
        <v>0.9791</v>
      </c>
      <c r="X27" s="323">
        <v>97</v>
      </c>
      <c r="Y27" s="311">
        <v>12852.5</v>
      </c>
      <c r="AA27" s="313"/>
      <c r="AH27" s="314"/>
      <c r="AI27" s="314"/>
      <c r="AJ27" s="278"/>
      <c r="AK27" s="315"/>
      <c r="AL27" s="314"/>
      <c r="AM27" s="278"/>
    </row>
    <row r="28" spans="3:42" s="20" customFormat="1" ht="15.75">
      <c r="C28" s="305">
        <v>21</v>
      </c>
      <c r="D28" s="64">
        <v>1047</v>
      </c>
      <c r="E28" s="317" t="s">
        <v>54</v>
      </c>
      <c r="F28" s="306">
        <f t="shared" si="2"/>
        <v>-4009.1900000000005</v>
      </c>
      <c r="G28" s="307">
        <f t="shared" si="0"/>
        <v>-163.20999999999998</v>
      </c>
      <c r="I28" s="305">
        <v>21</v>
      </c>
      <c r="J28" s="64">
        <v>1047</v>
      </c>
      <c r="K28" s="317" t="s">
        <v>54</v>
      </c>
      <c r="L28" s="306">
        <v>7018.8</v>
      </c>
      <c r="M28" s="306">
        <v>270.4</v>
      </c>
      <c r="N28" s="308">
        <v>0.9614762109654382</v>
      </c>
      <c r="O28" s="324">
        <v>95.6</v>
      </c>
      <c r="P28" s="306">
        <v>6748.39</v>
      </c>
      <c r="Q28" s="309"/>
      <c r="R28" s="305">
        <v>21</v>
      </c>
      <c r="S28" s="67">
        <v>1047</v>
      </c>
      <c r="T28" s="317" t="s">
        <v>54</v>
      </c>
      <c r="U28" s="69">
        <v>2891.13</v>
      </c>
      <c r="V28" s="311">
        <v>107.19</v>
      </c>
      <c r="W28" s="308">
        <v>0.9623</v>
      </c>
      <c r="X28" s="323">
        <v>95.6</v>
      </c>
      <c r="Y28" s="311">
        <v>2739.2</v>
      </c>
      <c r="AA28" s="313"/>
      <c r="AH28" s="314"/>
      <c r="AI28" s="314"/>
      <c r="AJ28" s="278"/>
      <c r="AK28" s="315"/>
      <c r="AL28" s="314"/>
      <c r="AM28" s="278"/>
      <c r="AP28" s="278"/>
    </row>
    <row r="29" spans="3:39" s="20" customFormat="1" ht="15.75">
      <c r="C29" s="305">
        <v>22</v>
      </c>
      <c r="D29" s="64">
        <v>1296</v>
      </c>
      <c r="E29" s="317" t="s">
        <v>56</v>
      </c>
      <c r="F29" s="306">
        <f t="shared" si="2"/>
        <v>374.7000000000007</v>
      </c>
      <c r="G29" s="307">
        <f t="shared" si="0"/>
        <v>-115.46999999999997</v>
      </c>
      <c r="I29" s="305">
        <v>22</v>
      </c>
      <c r="J29" s="64">
        <v>1296</v>
      </c>
      <c r="K29" s="317" t="s">
        <v>56</v>
      </c>
      <c r="L29" s="306">
        <v>5424.7</v>
      </c>
      <c r="M29" s="306">
        <v>372.2</v>
      </c>
      <c r="N29" s="308">
        <v>0.9316130027888315</v>
      </c>
      <c r="O29" s="324">
        <v>92</v>
      </c>
      <c r="P29" s="306">
        <v>5070.9</v>
      </c>
      <c r="Q29" s="309"/>
      <c r="R29" s="305">
        <v>22</v>
      </c>
      <c r="S29" s="67">
        <v>1296</v>
      </c>
      <c r="T29" s="317" t="s">
        <v>56</v>
      </c>
      <c r="U29" s="69">
        <v>5711.1</v>
      </c>
      <c r="V29" s="311">
        <v>256.73</v>
      </c>
      <c r="W29" s="308">
        <v>0.955</v>
      </c>
      <c r="X29" s="323">
        <v>92</v>
      </c>
      <c r="Y29" s="311">
        <v>5445.6</v>
      </c>
      <c r="AA29" s="313"/>
      <c r="AH29" s="314"/>
      <c r="AI29" s="314"/>
      <c r="AJ29" s="278"/>
      <c r="AK29" s="315"/>
      <c r="AL29" s="314"/>
      <c r="AM29" s="278"/>
    </row>
    <row r="30" spans="3:42" s="20" customFormat="1" ht="15.75">
      <c r="C30" s="305">
        <v>23</v>
      </c>
      <c r="D30" s="64">
        <v>1020</v>
      </c>
      <c r="E30" s="210" t="s">
        <v>76</v>
      </c>
      <c r="F30" s="306">
        <f t="shared" si="2"/>
        <v>-1187.5</v>
      </c>
      <c r="G30" s="307">
        <f t="shared" si="0"/>
        <v>-110.80000000000001</v>
      </c>
      <c r="I30" s="305">
        <v>23</v>
      </c>
      <c r="J30" s="64">
        <v>1020</v>
      </c>
      <c r="K30" s="210" t="s">
        <v>76</v>
      </c>
      <c r="L30" s="306">
        <v>3815.5</v>
      </c>
      <c r="M30" s="306">
        <v>324.6</v>
      </c>
      <c r="N30" s="308">
        <v>0.9121420451469713</v>
      </c>
      <c r="O30" s="324">
        <v>90</v>
      </c>
      <c r="P30" s="306">
        <v>3370</v>
      </c>
      <c r="Q30" s="309"/>
      <c r="R30" s="305">
        <v>23</v>
      </c>
      <c r="S30" s="67">
        <v>1020</v>
      </c>
      <c r="T30" s="310" t="s">
        <v>76</v>
      </c>
      <c r="U30" s="69">
        <v>2268.1</v>
      </c>
      <c r="V30" s="311">
        <v>213.8</v>
      </c>
      <c r="W30" s="308">
        <v>0.9108</v>
      </c>
      <c r="X30" s="323">
        <v>90</v>
      </c>
      <c r="Y30" s="311">
        <v>2182.5</v>
      </c>
      <c r="AA30" s="313"/>
      <c r="AH30" s="314"/>
      <c r="AI30" s="314"/>
      <c r="AJ30" s="278"/>
      <c r="AK30" s="315"/>
      <c r="AL30" s="314"/>
      <c r="AM30" s="278"/>
      <c r="AP30" s="278"/>
    </row>
    <row r="31" spans="3:39" s="20" customFormat="1" ht="15.75">
      <c r="C31" s="305">
        <v>24</v>
      </c>
      <c r="D31" s="64">
        <v>1374</v>
      </c>
      <c r="E31" s="210" t="s">
        <v>105</v>
      </c>
      <c r="F31" s="306">
        <f t="shared" si="2"/>
        <v>-903.1</v>
      </c>
      <c r="G31" s="307">
        <f t="shared" si="0"/>
        <v>-86.8</v>
      </c>
      <c r="I31" s="305">
        <v>24</v>
      </c>
      <c r="J31" s="64">
        <v>1374</v>
      </c>
      <c r="K31" s="210" t="s">
        <v>105</v>
      </c>
      <c r="L31" s="306">
        <v>1039.2</v>
      </c>
      <c r="M31" s="306">
        <v>86.8</v>
      </c>
      <c r="N31" s="308">
        <v>0.9123143751894132</v>
      </c>
      <c r="O31" s="87">
        <v>89.7</v>
      </c>
      <c r="P31" s="306">
        <v>903.1</v>
      </c>
      <c r="Q31" s="309"/>
      <c r="R31" s="305">
        <v>24</v>
      </c>
      <c r="S31" s="67">
        <v>1374</v>
      </c>
      <c r="T31" s="310" t="s">
        <v>105</v>
      </c>
      <c r="U31" s="69">
        <v>0</v>
      </c>
      <c r="V31" s="311">
        <v>0</v>
      </c>
      <c r="W31" s="308">
        <v>0</v>
      </c>
      <c r="X31" s="112">
        <v>69.7</v>
      </c>
      <c r="Y31" s="311">
        <v>0</v>
      </c>
      <c r="AA31" s="313"/>
      <c r="AH31" s="314"/>
      <c r="AI31" s="314"/>
      <c r="AJ31" s="278"/>
      <c r="AK31" s="315"/>
      <c r="AL31" s="314"/>
      <c r="AM31" s="278"/>
    </row>
    <row r="32" spans="3:39" s="20" customFormat="1" ht="15.75">
      <c r="C32" s="305">
        <v>25</v>
      </c>
      <c r="D32" s="64">
        <v>1530</v>
      </c>
      <c r="E32" s="317" t="s">
        <v>138</v>
      </c>
      <c r="F32" s="306">
        <f t="shared" si="2"/>
        <v>-4230.5</v>
      </c>
      <c r="G32" s="307">
        <f t="shared" si="0"/>
        <v>-62.799999999999955</v>
      </c>
      <c r="I32" s="305">
        <v>25</v>
      </c>
      <c r="J32" s="64">
        <v>1530</v>
      </c>
      <c r="K32" s="317" t="s">
        <v>138</v>
      </c>
      <c r="L32" s="306">
        <v>95120.2</v>
      </c>
      <c r="M32" s="306">
        <v>1260.7</v>
      </c>
      <c r="N32" s="308">
        <v>0.9870059862958347</v>
      </c>
      <c r="O32" s="87">
        <v>98.3</v>
      </c>
      <c r="P32" s="306">
        <v>95760.9</v>
      </c>
      <c r="Q32" s="309"/>
      <c r="R32" s="305">
        <v>25</v>
      </c>
      <c r="S32" s="67">
        <v>1530</v>
      </c>
      <c r="T32" s="317" t="s">
        <v>138</v>
      </c>
      <c r="U32" s="69">
        <v>92600.9</v>
      </c>
      <c r="V32" s="311">
        <v>1197.9</v>
      </c>
      <c r="W32" s="308">
        <v>0.9871</v>
      </c>
      <c r="X32" s="112">
        <v>98.4</v>
      </c>
      <c r="Y32" s="311">
        <v>91530.4</v>
      </c>
      <c r="AA32" s="313"/>
      <c r="AH32" s="314"/>
      <c r="AI32" s="314"/>
      <c r="AJ32" s="278"/>
      <c r="AK32" s="315"/>
      <c r="AL32" s="314"/>
      <c r="AM32" s="278"/>
    </row>
    <row r="33" spans="3:39" s="20" customFormat="1" ht="15.75">
      <c r="C33" s="305">
        <v>26</v>
      </c>
      <c r="D33" s="64">
        <v>1139</v>
      </c>
      <c r="E33" s="317" t="s">
        <v>61</v>
      </c>
      <c r="F33" s="306">
        <f t="shared" si="2"/>
        <v>-5986.1600000000035</v>
      </c>
      <c r="G33" s="307">
        <f t="shared" si="0"/>
        <v>-44.10000000000002</v>
      </c>
      <c r="I33" s="305">
        <v>26</v>
      </c>
      <c r="J33" s="64">
        <v>1139</v>
      </c>
      <c r="K33" s="317" t="s">
        <v>61</v>
      </c>
      <c r="L33" s="306">
        <v>38390.2</v>
      </c>
      <c r="M33" s="306">
        <v>599.7</v>
      </c>
      <c r="N33" s="308">
        <v>0.9841485834063536</v>
      </c>
      <c r="O33" s="324">
        <v>98</v>
      </c>
      <c r="P33" s="306">
        <v>37232.26</v>
      </c>
      <c r="Q33" s="309"/>
      <c r="R33" s="305">
        <v>26</v>
      </c>
      <c r="S33" s="67">
        <v>1139</v>
      </c>
      <c r="T33" s="317" t="s">
        <v>61</v>
      </c>
      <c r="U33" s="69">
        <v>31552</v>
      </c>
      <c r="V33" s="311">
        <v>555.6</v>
      </c>
      <c r="W33" s="308">
        <v>0.9825</v>
      </c>
      <c r="X33" s="323">
        <v>98</v>
      </c>
      <c r="Y33" s="311">
        <v>31246.1</v>
      </c>
      <c r="AA33" s="313"/>
      <c r="AH33" s="314"/>
      <c r="AI33" s="314"/>
      <c r="AJ33" s="278"/>
      <c r="AK33" s="315"/>
      <c r="AL33" s="314"/>
      <c r="AM33" s="278"/>
    </row>
    <row r="34" spans="3:39" s="20" customFormat="1" ht="15.75">
      <c r="C34" s="305">
        <v>27</v>
      </c>
      <c r="D34" s="64">
        <v>1028</v>
      </c>
      <c r="E34" s="317" t="s">
        <v>57</v>
      </c>
      <c r="F34" s="306">
        <f t="shared" si="2"/>
        <v>-403.1199999999999</v>
      </c>
      <c r="G34" s="307">
        <f t="shared" si="0"/>
        <v>21.909999999999997</v>
      </c>
      <c r="I34" s="305">
        <v>27</v>
      </c>
      <c r="J34" s="64">
        <v>1028</v>
      </c>
      <c r="K34" s="317" t="s">
        <v>57</v>
      </c>
      <c r="L34" s="306">
        <v>1184.9</v>
      </c>
      <c r="M34" s="306">
        <v>88.3</v>
      </c>
      <c r="N34" s="308">
        <v>0.9268587815045957</v>
      </c>
      <c r="O34" s="87" t="s">
        <v>58</v>
      </c>
      <c r="P34" s="306">
        <v>1118.32</v>
      </c>
      <c r="Q34" s="309"/>
      <c r="R34" s="305">
        <v>27</v>
      </c>
      <c r="S34" s="67">
        <v>1028</v>
      </c>
      <c r="T34" s="317" t="s">
        <v>57</v>
      </c>
      <c r="U34" s="69">
        <v>848.8</v>
      </c>
      <c r="V34" s="311">
        <v>110.21</v>
      </c>
      <c r="W34" s="308">
        <v>0.8665</v>
      </c>
      <c r="X34" s="324" t="s">
        <v>58</v>
      </c>
      <c r="Y34" s="311">
        <v>715.2</v>
      </c>
      <c r="AA34" s="313"/>
      <c r="AH34" s="314"/>
      <c r="AI34" s="314"/>
      <c r="AJ34" s="278"/>
      <c r="AK34" s="315"/>
      <c r="AL34" s="314"/>
      <c r="AM34" s="278"/>
    </row>
    <row r="35" spans="3:39" s="20" customFormat="1" ht="16.5" thickBot="1">
      <c r="C35" s="305">
        <v>28</v>
      </c>
      <c r="D35" s="64">
        <v>1268</v>
      </c>
      <c r="E35" s="210" t="s">
        <v>110</v>
      </c>
      <c r="F35" s="306">
        <f t="shared" si="2"/>
        <v>-1985.6000000000022</v>
      </c>
      <c r="G35" s="307">
        <f t="shared" si="0"/>
        <v>27.889999999999986</v>
      </c>
      <c r="I35" s="305">
        <v>28</v>
      </c>
      <c r="J35" s="64">
        <v>1268</v>
      </c>
      <c r="K35" s="210" t="s">
        <v>110</v>
      </c>
      <c r="L35" s="306">
        <v>16104.4</v>
      </c>
      <c r="M35" s="306">
        <v>457.5</v>
      </c>
      <c r="N35" s="308">
        <v>0.9757739145814567</v>
      </c>
      <c r="O35" s="87">
        <v>95.6</v>
      </c>
      <c r="P35" s="306">
        <v>18426.7</v>
      </c>
      <c r="Q35" s="309"/>
      <c r="R35" s="305">
        <v>28</v>
      </c>
      <c r="S35" s="67">
        <v>1268</v>
      </c>
      <c r="T35" s="310" t="s">
        <v>110</v>
      </c>
      <c r="U35" s="69">
        <v>17202.5</v>
      </c>
      <c r="V35" s="311">
        <v>485.39</v>
      </c>
      <c r="W35" s="308">
        <v>0.9713</v>
      </c>
      <c r="X35" s="112">
        <v>95.6</v>
      </c>
      <c r="Y35" s="311">
        <v>16441.1</v>
      </c>
      <c r="AA35" s="313"/>
      <c r="AH35" s="314"/>
      <c r="AI35" s="314"/>
      <c r="AJ35" s="278"/>
      <c r="AK35" s="315"/>
      <c r="AL35" s="314"/>
      <c r="AM35" s="278"/>
    </row>
    <row r="36" spans="1:39" s="322" customFormat="1" ht="18">
      <c r="A36" s="327"/>
      <c r="B36" s="327"/>
      <c r="C36" s="326"/>
      <c r="D36" s="328" t="s">
        <v>62</v>
      </c>
      <c r="E36" s="329"/>
      <c r="F36" s="330">
        <f>SUM(F8:F35)</f>
        <v>-865649.0799999998</v>
      </c>
      <c r="G36" s="330">
        <f>SUM(G8:G35)</f>
        <v>-16995.269999999997</v>
      </c>
      <c r="J36" s="328" t="s">
        <v>62</v>
      </c>
      <c r="K36" s="329"/>
      <c r="L36" s="331">
        <f>SUM(L8:L35)</f>
        <v>3423774.2000000007</v>
      </c>
      <c r="M36" s="331">
        <f>SUM(M8:M35)</f>
        <v>56349.200000000004</v>
      </c>
      <c r="N36" s="332">
        <f>P36/(P36+M36)</f>
        <v>0.9838450379128799</v>
      </c>
      <c r="O36" s="333"/>
      <c r="P36" s="331">
        <f>SUM(P8:P35)</f>
        <v>3431693.6500000004</v>
      </c>
      <c r="Q36" s="334"/>
      <c r="S36" s="328" t="s">
        <v>62</v>
      </c>
      <c r="T36" s="328"/>
      <c r="U36" s="335">
        <f>SUM(U8:U35)</f>
        <v>2640058.4</v>
      </c>
      <c r="V36" s="336">
        <f>SUM(V8:V35)</f>
        <v>39353.93000000001</v>
      </c>
      <c r="W36" s="332">
        <f>Y36/(Y36+V36)</f>
        <v>0.9848952357959828</v>
      </c>
      <c r="X36" s="328"/>
      <c r="Y36" s="337">
        <f>SUM(Y8:Y35)</f>
        <v>2566044.5700000008</v>
      </c>
      <c r="AH36" s="338"/>
      <c r="AI36" s="338"/>
      <c r="AJ36" s="338"/>
      <c r="AK36" s="338"/>
      <c r="AL36" s="339"/>
      <c r="AM36" s="340"/>
    </row>
    <row r="37" spans="1:39" s="20" customFormat="1" ht="18">
      <c r="A37" s="327"/>
      <c r="B37" s="327"/>
      <c r="J37" s="341"/>
      <c r="K37" s="25"/>
      <c r="L37" s="315"/>
      <c r="M37" s="315"/>
      <c r="N37" s="321"/>
      <c r="O37" s="342"/>
      <c r="P37" s="315"/>
      <c r="Q37" s="343"/>
      <c r="R37" s="344" t="s">
        <v>298</v>
      </c>
      <c r="S37" s="83"/>
      <c r="T37" s="344"/>
      <c r="U37" s="345"/>
      <c r="V37" s="315"/>
      <c r="W37" s="321"/>
      <c r="Y37" s="315"/>
      <c r="AH37" s="314"/>
      <c r="AI37" s="314"/>
      <c r="AJ37" s="314"/>
      <c r="AK37" s="315"/>
      <c r="AL37" s="314"/>
      <c r="AM37" s="278"/>
    </row>
    <row r="38" spans="3:39" s="327" customFormat="1" ht="18.75" thickBot="1">
      <c r="C38" s="346" t="s">
        <v>218</v>
      </c>
      <c r="D38" s="6"/>
      <c r="E38" s="346"/>
      <c r="F38" s="347"/>
      <c r="G38" s="348"/>
      <c r="I38" s="346" t="s">
        <v>218</v>
      </c>
      <c r="J38" s="349"/>
      <c r="K38" s="350"/>
      <c r="L38" s="348"/>
      <c r="M38" s="348"/>
      <c r="N38" s="351"/>
      <c r="O38" s="352"/>
      <c r="P38" s="348"/>
      <c r="Q38" s="353"/>
      <c r="R38" s="346" t="s">
        <v>218</v>
      </c>
      <c r="S38" s="349"/>
      <c r="T38" s="350"/>
      <c r="U38" s="348"/>
      <c r="V38" s="348"/>
      <c r="W38" s="351"/>
      <c r="X38" s="352"/>
      <c r="Y38" s="348"/>
      <c r="AG38" s="354"/>
      <c r="AH38" s="355"/>
      <c r="AI38" s="355"/>
      <c r="AJ38" s="355"/>
      <c r="AK38" s="356"/>
      <c r="AL38" s="355"/>
      <c r="AM38" s="357"/>
    </row>
    <row r="39" spans="3:39" s="112" customFormat="1" ht="15.75">
      <c r="C39" s="67">
        <v>1</v>
      </c>
      <c r="D39" s="64">
        <v>1114</v>
      </c>
      <c r="E39" s="317" t="s">
        <v>201</v>
      </c>
      <c r="F39" s="306">
        <f>Y39-P39</f>
        <v>231.9</v>
      </c>
      <c r="G39" s="307">
        <f>V39-M39</f>
        <v>-139.394</v>
      </c>
      <c r="I39" s="67">
        <v>1</v>
      </c>
      <c r="J39" s="64">
        <v>1114</v>
      </c>
      <c r="K39" s="317" t="s">
        <v>201</v>
      </c>
      <c r="L39" s="309">
        <v>310.55</v>
      </c>
      <c r="M39" s="309">
        <v>310.694</v>
      </c>
      <c r="N39" s="358">
        <v>0</v>
      </c>
      <c r="O39" s="359">
        <v>0</v>
      </c>
      <c r="P39" s="309">
        <v>0</v>
      </c>
      <c r="Q39" s="309"/>
      <c r="R39" s="67">
        <v>1</v>
      </c>
      <c r="S39" s="64">
        <v>1114</v>
      </c>
      <c r="T39" s="317" t="s">
        <v>201</v>
      </c>
      <c r="U39" s="306">
        <v>440.8</v>
      </c>
      <c r="V39" s="306">
        <v>171.3</v>
      </c>
      <c r="W39" s="308">
        <v>0.5751</v>
      </c>
      <c r="X39" s="360">
        <v>69.7</v>
      </c>
      <c r="Y39" s="306">
        <v>231.9</v>
      </c>
      <c r="AH39" s="361"/>
      <c r="AI39" s="361"/>
      <c r="AJ39" s="361"/>
      <c r="AK39" s="306"/>
      <c r="AL39" s="361"/>
      <c r="AM39" s="362"/>
    </row>
    <row r="40" spans="1:39" s="20" customFormat="1" ht="16.5" thickBot="1">
      <c r="A40" s="112"/>
      <c r="B40" s="112"/>
      <c r="C40" s="67">
        <v>2</v>
      </c>
      <c r="D40" s="104">
        <v>1096</v>
      </c>
      <c r="E40" s="7" t="s">
        <v>144</v>
      </c>
      <c r="F40" s="363">
        <f>Y40-P40</f>
        <v>478.66</v>
      </c>
      <c r="G40" s="364">
        <f>V40-M40</f>
        <v>-972.3900000000001</v>
      </c>
      <c r="I40" s="67">
        <v>2</v>
      </c>
      <c r="J40" s="104">
        <v>1096</v>
      </c>
      <c r="K40" s="7" t="s">
        <v>144</v>
      </c>
      <c r="L40" s="363">
        <v>907.98</v>
      </c>
      <c r="M40" s="363">
        <v>1036.41</v>
      </c>
      <c r="N40" s="365">
        <v>0</v>
      </c>
      <c r="O40" s="366">
        <v>0</v>
      </c>
      <c r="P40" s="363">
        <v>0</v>
      </c>
      <c r="Q40" s="309"/>
      <c r="R40" s="104">
        <v>2</v>
      </c>
      <c r="S40" s="104">
        <v>1096</v>
      </c>
      <c r="T40" s="7" t="s">
        <v>144</v>
      </c>
      <c r="U40" s="363">
        <v>521.23</v>
      </c>
      <c r="V40" s="363">
        <v>64.02</v>
      </c>
      <c r="W40" s="365">
        <v>0.882</v>
      </c>
      <c r="X40" s="366">
        <v>85</v>
      </c>
      <c r="Y40" s="363">
        <v>478.66</v>
      </c>
      <c r="AH40" s="314"/>
      <c r="AI40" s="314"/>
      <c r="AJ40" s="314"/>
      <c r="AK40" s="315"/>
      <c r="AL40" s="314"/>
      <c r="AM40" s="278"/>
    </row>
    <row r="41" spans="3:39" s="112" customFormat="1" ht="18">
      <c r="C41" s="67"/>
      <c r="D41" s="328"/>
      <c r="E41" s="25"/>
      <c r="F41" s="367">
        <f>SUM(F39:F40)</f>
        <v>710.5600000000001</v>
      </c>
      <c r="G41" s="367">
        <f>SUM(G39:G40)</f>
        <v>-1111.784</v>
      </c>
      <c r="J41" s="368"/>
      <c r="K41" s="25"/>
      <c r="L41" s="354">
        <f>SUM(L39:L40)</f>
        <v>1218.53</v>
      </c>
      <c r="M41" s="354">
        <f>SUM(M39:M40)</f>
        <v>1347.104</v>
      </c>
      <c r="N41" s="369">
        <f>SUM(N39:N40)</f>
        <v>0</v>
      </c>
      <c r="O41" s="370"/>
      <c r="P41" s="354">
        <f>SUM(P39:P39)</f>
        <v>0</v>
      </c>
      <c r="Q41" s="334"/>
      <c r="S41" s="368"/>
      <c r="U41" s="371">
        <f>SUM(U39:U40)</f>
        <v>962.03</v>
      </c>
      <c r="V41" s="371">
        <f>SUM(V39:V40)</f>
        <v>235.32</v>
      </c>
      <c r="W41" s="372">
        <f>Y41/(Y41+V41)</f>
        <v>0.7512157990442762</v>
      </c>
      <c r="X41" s="373">
        <v>69.7</v>
      </c>
      <c r="Y41" s="309">
        <f>SUM(Y39:Y40)</f>
        <v>710.5600000000001</v>
      </c>
      <c r="Z41" s="25"/>
      <c r="AH41" s="361"/>
      <c r="AI41" s="361"/>
      <c r="AJ41" s="361"/>
      <c r="AK41" s="306"/>
      <c r="AL41" s="361"/>
      <c r="AM41" s="362"/>
    </row>
    <row r="42" spans="1:39" s="112" customFormat="1" ht="18">
      <c r="A42" s="322"/>
      <c r="B42" s="322"/>
      <c r="V42" s="371"/>
      <c r="W42" s="372"/>
      <c r="X42" s="371"/>
      <c r="Y42" s="371"/>
      <c r="AH42" s="361"/>
      <c r="AI42" s="361"/>
      <c r="AJ42" s="361"/>
      <c r="AK42" s="306"/>
      <c r="AL42" s="361"/>
      <c r="AM42" s="362"/>
    </row>
    <row r="43" spans="1:39" s="322" customFormat="1" ht="18.75" thickBot="1">
      <c r="A43" s="112"/>
      <c r="B43" s="112"/>
      <c r="C43" s="291" t="s">
        <v>226</v>
      </c>
      <c r="D43" s="346"/>
      <c r="E43" s="346"/>
      <c r="F43" s="347"/>
      <c r="G43" s="347"/>
      <c r="I43" s="6" t="s">
        <v>221</v>
      </c>
      <c r="J43" s="346"/>
      <c r="K43" s="346"/>
      <c r="L43" s="347"/>
      <c r="M43" s="347"/>
      <c r="N43" s="374"/>
      <c r="O43" s="375"/>
      <c r="P43" s="347"/>
      <c r="Q43" s="334"/>
      <c r="R43" s="6" t="s">
        <v>221</v>
      </c>
      <c r="S43" s="346"/>
      <c r="T43" s="346"/>
      <c r="U43" s="376"/>
      <c r="V43" s="376"/>
      <c r="W43" s="374"/>
      <c r="X43" s="346"/>
      <c r="Y43" s="347"/>
      <c r="Z43" s="368"/>
      <c r="AA43" s="368"/>
      <c r="AH43" s="377"/>
      <c r="AI43" s="377"/>
      <c r="AJ43" s="377"/>
      <c r="AK43" s="354"/>
      <c r="AL43" s="377"/>
      <c r="AM43" s="340"/>
    </row>
    <row r="44" spans="3:39" s="112" customFormat="1" ht="18.75" thickBot="1">
      <c r="C44" s="67">
        <v>1</v>
      </c>
      <c r="D44" s="378">
        <v>1960</v>
      </c>
      <c r="E44" s="379" t="s">
        <v>180</v>
      </c>
      <c r="F44" s="380">
        <f>Y44-P44</f>
        <v>313.2</v>
      </c>
      <c r="G44" s="381">
        <f>V44-M44</f>
        <v>125</v>
      </c>
      <c r="I44" s="67">
        <v>1</v>
      </c>
      <c r="J44" s="378">
        <v>1960</v>
      </c>
      <c r="K44" s="379" t="s">
        <v>180</v>
      </c>
      <c r="L44" s="382">
        <v>0</v>
      </c>
      <c r="M44" s="382">
        <v>0</v>
      </c>
      <c r="N44" s="383">
        <v>0</v>
      </c>
      <c r="O44" s="384">
        <v>0</v>
      </c>
      <c r="P44" s="382">
        <v>0</v>
      </c>
      <c r="Q44" s="334"/>
      <c r="R44" s="378">
        <v>1</v>
      </c>
      <c r="S44" s="378">
        <v>1960</v>
      </c>
      <c r="T44" s="379" t="s">
        <v>180</v>
      </c>
      <c r="U44" s="385">
        <v>449.8</v>
      </c>
      <c r="V44" s="385">
        <v>125</v>
      </c>
      <c r="W44" s="386">
        <v>0.7147</v>
      </c>
      <c r="X44" s="387">
        <v>70</v>
      </c>
      <c r="Y44" s="380">
        <v>313.2</v>
      </c>
      <c r="Z44" s="25"/>
      <c r="AH44" s="361"/>
      <c r="AI44" s="361"/>
      <c r="AJ44" s="361"/>
      <c r="AK44" s="306"/>
      <c r="AL44" s="361"/>
      <c r="AM44" s="362"/>
    </row>
    <row r="45" spans="3:39" s="112" customFormat="1" ht="18">
      <c r="C45" s="67"/>
      <c r="D45" s="368"/>
      <c r="E45" s="25"/>
      <c r="F45" s="367">
        <f>SUM(F44)</f>
        <v>313.2</v>
      </c>
      <c r="G45" s="367">
        <f>SUM(G44)</f>
        <v>125</v>
      </c>
      <c r="J45" s="368"/>
      <c r="K45" s="25"/>
      <c r="L45" s="354">
        <f>SUM(L44)</f>
        <v>0</v>
      </c>
      <c r="M45" s="354">
        <f>SUM(M44)</f>
        <v>0</v>
      </c>
      <c r="N45" s="369">
        <v>0</v>
      </c>
      <c r="O45" s="370"/>
      <c r="P45" s="354">
        <f>SUM(P44)</f>
        <v>0</v>
      </c>
      <c r="Q45" s="334"/>
      <c r="S45" s="368"/>
      <c r="U45" s="371">
        <f>SUM(U44)</f>
        <v>449.8</v>
      </c>
      <c r="V45" s="388">
        <f>SUM(V44)</f>
        <v>125</v>
      </c>
      <c r="W45" s="372">
        <f>Y45/(Y45+V45)</f>
        <v>0.714742126882702</v>
      </c>
      <c r="X45" s="322"/>
      <c r="Y45" s="389">
        <f>SUM(Y44)</f>
        <v>313.2</v>
      </c>
      <c r="AH45" s="361"/>
      <c r="AI45" s="361"/>
      <c r="AJ45" s="361"/>
      <c r="AK45" s="306"/>
      <c r="AL45" s="361"/>
      <c r="AM45" s="362"/>
    </row>
    <row r="46" spans="1:39" s="112" customFormat="1" ht="18">
      <c r="A46" s="327"/>
      <c r="B46" s="327"/>
      <c r="J46" s="368"/>
      <c r="K46" s="25"/>
      <c r="L46" s="354"/>
      <c r="M46" s="354"/>
      <c r="N46" s="369"/>
      <c r="O46" s="370"/>
      <c r="P46" s="354"/>
      <c r="Q46" s="334"/>
      <c r="S46" s="368"/>
      <c r="U46" s="371"/>
      <c r="V46" s="371"/>
      <c r="W46" s="369"/>
      <c r="X46" s="322"/>
      <c r="Y46" s="354"/>
      <c r="AH46" s="361"/>
      <c r="AI46" s="361"/>
      <c r="AJ46" s="361"/>
      <c r="AK46" s="306"/>
      <c r="AL46" s="361"/>
      <c r="AM46" s="362"/>
    </row>
    <row r="47" spans="1:39" s="20" customFormat="1" ht="18.75" thickBot="1">
      <c r="A47" s="327"/>
      <c r="B47" s="327"/>
      <c r="C47" s="346" t="s">
        <v>219</v>
      </c>
      <c r="D47" s="349"/>
      <c r="E47" s="350"/>
      <c r="F47" s="348"/>
      <c r="G47" s="348"/>
      <c r="I47" s="346" t="s">
        <v>172</v>
      </c>
      <c r="J47" s="274"/>
      <c r="K47" s="10"/>
      <c r="L47" s="390"/>
      <c r="M47" s="390"/>
      <c r="N47" s="391"/>
      <c r="O47" s="392"/>
      <c r="P47" s="390"/>
      <c r="Q47" s="343"/>
      <c r="R47" s="346" t="s">
        <v>222</v>
      </c>
      <c r="S47" s="274"/>
      <c r="T47" s="10"/>
      <c r="U47" s="393"/>
      <c r="V47" s="390"/>
      <c r="W47" s="391"/>
      <c r="X47" s="274"/>
      <c r="Y47" s="390"/>
      <c r="AH47" s="314"/>
      <c r="AI47" s="314"/>
      <c r="AJ47" s="314"/>
      <c r="AK47" s="315"/>
      <c r="AL47" s="314"/>
      <c r="AM47" s="278"/>
    </row>
    <row r="48" spans="9:39" s="20" customFormat="1" ht="18">
      <c r="I48" s="322"/>
      <c r="K48" s="25"/>
      <c r="L48" s="315"/>
      <c r="M48" s="315"/>
      <c r="N48" s="321"/>
      <c r="O48" s="33"/>
      <c r="P48" s="315"/>
      <c r="Q48" s="343"/>
      <c r="S48" s="394"/>
      <c r="T48" s="112"/>
      <c r="U48" s="345"/>
      <c r="V48" s="315"/>
      <c r="W48" s="321"/>
      <c r="Y48" s="315"/>
      <c r="AH48" s="314"/>
      <c r="AI48" s="314"/>
      <c r="AJ48" s="314"/>
      <c r="AK48" s="315"/>
      <c r="AL48" s="314"/>
      <c r="AM48" s="278"/>
    </row>
    <row r="49" spans="3:39" s="20" customFormat="1" ht="15.75">
      <c r="C49" s="67">
        <v>1</v>
      </c>
      <c r="D49" s="64">
        <v>1079</v>
      </c>
      <c r="E49" s="317" t="s">
        <v>24</v>
      </c>
      <c r="F49" s="306">
        <f>Y49-P49</f>
        <v>-73926.50000000001</v>
      </c>
      <c r="G49" s="307">
        <f aca="true" t="shared" si="3" ref="G49:G69">V49-M49</f>
        <v>-1644.3</v>
      </c>
      <c r="I49" s="67">
        <v>7</v>
      </c>
      <c r="J49" s="64">
        <v>1079</v>
      </c>
      <c r="K49" s="317" t="s">
        <v>24</v>
      </c>
      <c r="L49" s="306">
        <v>170668.1</v>
      </c>
      <c r="M49" s="306">
        <v>3028.6</v>
      </c>
      <c r="N49" s="308">
        <v>0.9824885602643079</v>
      </c>
      <c r="O49" s="324">
        <v>98</v>
      </c>
      <c r="P49" s="306">
        <v>169921.2</v>
      </c>
      <c r="Q49" s="309"/>
      <c r="R49" s="67">
        <v>7</v>
      </c>
      <c r="S49" s="67">
        <v>1079</v>
      </c>
      <c r="T49" s="326" t="s">
        <v>24</v>
      </c>
      <c r="U49" s="306">
        <v>95865.5</v>
      </c>
      <c r="V49" s="311">
        <v>1384.3</v>
      </c>
      <c r="W49" s="308">
        <v>0.9858</v>
      </c>
      <c r="X49" s="112">
        <v>98.4</v>
      </c>
      <c r="Y49" s="311">
        <v>95994.7</v>
      </c>
      <c r="AH49" s="314"/>
      <c r="AI49" s="314"/>
      <c r="AJ49" s="278"/>
      <c r="AK49" s="315"/>
      <c r="AL49" s="314"/>
      <c r="AM49" s="278"/>
    </row>
    <row r="50" spans="1:39" s="20" customFormat="1" ht="18">
      <c r="A50" s="327"/>
      <c r="B50" s="327"/>
      <c r="C50" s="67">
        <v>2</v>
      </c>
      <c r="D50" s="64">
        <v>1105</v>
      </c>
      <c r="E50" s="317" t="s">
        <v>20</v>
      </c>
      <c r="F50" s="306">
        <v>-22351.514</v>
      </c>
      <c r="G50" s="307">
        <f t="shared" si="3"/>
        <v>-875.45</v>
      </c>
      <c r="I50" s="67">
        <v>17</v>
      </c>
      <c r="J50" s="64">
        <v>1105</v>
      </c>
      <c r="K50" s="317" t="s">
        <v>20</v>
      </c>
      <c r="L50" s="306">
        <v>25910</v>
      </c>
      <c r="M50" s="306">
        <v>1123.5</v>
      </c>
      <c r="N50" s="308">
        <v>0.9521403602638039</v>
      </c>
      <c r="O50" s="324">
        <v>95</v>
      </c>
      <c r="P50" s="306">
        <v>22351.514000000003</v>
      </c>
      <c r="Q50" s="309"/>
      <c r="R50" s="67">
        <v>17</v>
      </c>
      <c r="S50" s="64">
        <v>1105</v>
      </c>
      <c r="T50" s="317" t="s">
        <v>20</v>
      </c>
      <c r="U50" s="69">
        <v>38010.81</v>
      </c>
      <c r="V50" s="311">
        <v>248.05</v>
      </c>
      <c r="W50" s="308">
        <v>0.99504632523187</v>
      </c>
      <c r="X50" s="112">
        <v>98.3</v>
      </c>
      <c r="Y50" s="395" t="s">
        <v>240</v>
      </c>
      <c r="AH50" s="314"/>
      <c r="AI50" s="314"/>
      <c r="AJ50" s="278"/>
      <c r="AK50" s="315"/>
      <c r="AL50" s="314"/>
      <c r="AM50" s="278"/>
    </row>
    <row r="51" spans="1:39" s="20" customFormat="1" ht="18">
      <c r="A51" s="396"/>
      <c r="B51" s="396"/>
      <c r="C51" s="67">
        <v>3</v>
      </c>
      <c r="D51" s="64">
        <v>1004</v>
      </c>
      <c r="E51" s="317" t="s">
        <v>177</v>
      </c>
      <c r="F51" s="306">
        <f aca="true" t="shared" si="4" ref="F51:F69">Y51-P51</f>
        <v>-5203.4000000000015</v>
      </c>
      <c r="G51" s="307">
        <f t="shared" si="3"/>
        <v>-871.3</v>
      </c>
      <c r="I51" s="67">
        <v>11</v>
      </c>
      <c r="J51" s="64">
        <v>1004</v>
      </c>
      <c r="K51" s="317" t="s">
        <v>177</v>
      </c>
      <c r="L51" s="306">
        <v>19957.4</v>
      </c>
      <c r="M51" s="306">
        <v>1003</v>
      </c>
      <c r="N51" s="308">
        <v>0.9477922307760375</v>
      </c>
      <c r="O51" s="324">
        <v>92</v>
      </c>
      <c r="P51" s="306">
        <v>18208.7</v>
      </c>
      <c r="Q51" s="309"/>
      <c r="R51" s="67">
        <v>11</v>
      </c>
      <c r="S51" s="67">
        <v>1004</v>
      </c>
      <c r="T51" s="317" t="s">
        <v>177</v>
      </c>
      <c r="U51" s="311">
        <v>12121.8</v>
      </c>
      <c r="V51" s="311">
        <v>131.7</v>
      </c>
      <c r="W51" s="308">
        <v>0.99</v>
      </c>
      <c r="X51" s="112">
        <v>98.3</v>
      </c>
      <c r="Y51" s="311">
        <v>13005.3</v>
      </c>
      <c r="AH51" s="314"/>
      <c r="AI51" s="314"/>
      <c r="AJ51" s="278"/>
      <c r="AK51" s="315"/>
      <c r="AL51" s="314"/>
      <c r="AM51" s="278"/>
    </row>
    <row r="52" spans="3:39" s="20" customFormat="1" ht="15.75">
      <c r="C52" s="67">
        <v>4</v>
      </c>
      <c r="D52" s="64">
        <v>1021</v>
      </c>
      <c r="E52" s="317" t="s">
        <v>77</v>
      </c>
      <c r="F52" s="306">
        <f t="shared" si="4"/>
        <v>9095</v>
      </c>
      <c r="G52" s="307">
        <f t="shared" si="3"/>
        <v>-659.9999999999998</v>
      </c>
      <c r="I52" s="67">
        <v>8</v>
      </c>
      <c r="J52" s="64">
        <v>1021</v>
      </c>
      <c r="K52" s="317" t="s">
        <v>77</v>
      </c>
      <c r="L52" s="306">
        <v>103220</v>
      </c>
      <c r="M52" s="306">
        <v>2152.2</v>
      </c>
      <c r="N52" s="308">
        <v>0.9792928670941123</v>
      </c>
      <c r="O52" s="87">
        <v>97.1</v>
      </c>
      <c r="P52" s="306">
        <v>101783</v>
      </c>
      <c r="Q52" s="309"/>
      <c r="R52" s="67">
        <v>8</v>
      </c>
      <c r="S52" s="67">
        <v>1021</v>
      </c>
      <c r="T52" s="317" t="s">
        <v>77</v>
      </c>
      <c r="U52" s="69">
        <v>111296</v>
      </c>
      <c r="V52" s="311">
        <v>1492.2</v>
      </c>
      <c r="W52" s="308">
        <v>0.9867</v>
      </c>
      <c r="X52" s="112">
        <v>98.4</v>
      </c>
      <c r="Y52" s="311">
        <v>110878</v>
      </c>
      <c r="AH52" s="314"/>
      <c r="AI52" s="314"/>
      <c r="AJ52" s="278"/>
      <c r="AK52" s="315"/>
      <c r="AL52" s="314"/>
      <c r="AM52" s="278"/>
    </row>
    <row r="53" spans="1:39" s="327" customFormat="1" ht="18">
      <c r="A53" s="20"/>
      <c r="B53" s="20"/>
      <c r="C53" s="67">
        <v>5</v>
      </c>
      <c r="D53" s="64">
        <v>1662</v>
      </c>
      <c r="E53" s="317" t="s">
        <v>23</v>
      </c>
      <c r="F53" s="306">
        <f t="shared" si="4"/>
        <v>-221644.90000000014</v>
      </c>
      <c r="G53" s="307">
        <f t="shared" si="3"/>
        <v>-333.1999999999998</v>
      </c>
      <c r="H53" s="20"/>
      <c r="I53" s="67">
        <v>6</v>
      </c>
      <c r="J53" s="64">
        <v>1662</v>
      </c>
      <c r="K53" s="317" t="s">
        <v>23</v>
      </c>
      <c r="L53" s="306">
        <v>1833270.9</v>
      </c>
      <c r="M53" s="306">
        <v>2458.5</v>
      </c>
      <c r="N53" s="308">
        <v>0.9986691285127619</v>
      </c>
      <c r="O53" s="87">
        <v>99.8</v>
      </c>
      <c r="P53" s="306">
        <v>1844827.3</v>
      </c>
      <c r="Q53" s="309"/>
      <c r="R53" s="67">
        <v>6</v>
      </c>
      <c r="S53" s="67">
        <v>1662</v>
      </c>
      <c r="T53" s="326" t="s">
        <v>23</v>
      </c>
      <c r="U53" s="69">
        <v>1639255.9</v>
      </c>
      <c r="V53" s="311">
        <v>2125.3</v>
      </c>
      <c r="W53" s="308">
        <v>0.9987</v>
      </c>
      <c r="X53" s="112">
        <v>99.5</v>
      </c>
      <c r="Y53" s="311">
        <v>1623182.4</v>
      </c>
      <c r="AH53" s="355"/>
      <c r="AI53" s="355"/>
      <c r="AJ53" s="357"/>
      <c r="AK53" s="356"/>
      <c r="AL53" s="355"/>
      <c r="AM53" s="357"/>
    </row>
    <row r="54" spans="3:39" s="20" customFormat="1" ht="15.75">
      <c r="C54" s="67">
        <v>6</v>
      </c>
      <c r="D54" s="64">
        <v>1458</v>
      </c>
      <c r="E54" s="317" t="s">
        <v>86</v>
      </c>
      <c r="F54" s="306">
        <f t="shared" si="4"/>
        <v>14315.100000000006</v>
      </c>
      <c r="G54" s="307">
        <f t="shared" si="3"/>
        <v>-218.89999999999986</v>
      </c>
      <c r="I54" s="67">
        <v>4</v>
      </c>
      <c r="J54" s="64">
        <v>1458</v>
      </c>
      <c r="K54" s="317" t="s">
        <v>86</v>
      </c>
      <c r="L54" s="306">
        <v>107983.1</v>
      </c>
      <c r="M54" s="306">
        <v>1624.1</v>
      </c>
      <c r="N54" s="308">
        <v>0.9857824883534051</v>
      </c>
      <c r="O54" s="87">
        <v>98.4</v>
      </c>
      <c r="P54" s="306">
        <v>112615.2</v>
      </c>
      <c r="Q54" s="309"/>
      <c r="R54" s="67">
        <v>4</v>
      </c>
      <c r="S54" s="67">
        <v>1458</v>
      </c>
      <c r="T54" s="317" t="s">
        <v>86</v>
      </c>
      <c r="U54" s="69">
        <v>116457.3</v>
      </c>
      <c r="V54" s="311">
        <v>1405.2</v>
      </c>
      <c r="W54" s="308">
        <v>0.9891</v>
      </c>
      <c r="X54" s="112">
        <v>98.4</v>
      </c>
      <c r="Y54" s="311">
        <v>126930.3</v>
      </c>
      <c r="AH54" s="314"/>
      <c r="AI54" s="314"/>
      <c r="AJ54" s="278"/>
      <c r="AK54" s="315"/>
      <c r="AL54" s="314"/>
      <c r="AM54" s="278"/>
    </row>
    <row r="55" spans="3:39" s="20" customFormat="1" ht="15.75">
      <c r="C55" s="67">
        <v>7</v>
      </c>
      <c r="D55" s="64">
        <v>1002</v>
      </c>
      <c r="E55" s="317" t="s">
        <v>26</v>
      </c>
      <c r="F55" s="306">
        <f t="shared" si="4"/>
        <v>-14709.800000000003</v>
      </c>
      <c r="G55" s="307">
        <f t="shared" si="3"/>
        <v>-194.8</v>
      </c>
      <c r="I55" s="67">
        <v>12</v>
      </c>
      <c r="J55" s="64">
        <v>1002</v>
      </c>
      <c r="K55" s="317" t="s">
        <v>26</v>
      </c>
      <c r="L55" s="306">
        <v>37590.7</v>
      </c>
      <c r="M55" s="306">
        <v>467.5</v>
      </c>
      <c r="N55" s="308">
        <v>0.9875530161637732</v>
      </c>
      <c r="O55" s="87">
        <v>98.4</v>
      </c>
      <c r="P55" s="306">
        <v>37091.8</v>
      </c>
      <c r="Q55" s="309"/>
      <c r="R55" s="67">
        <v>12</v>
      </c>
      <c r="S55" s="67">
        <v>1002</v>
      </c>
      <c r="T55" s="326" t="s">
        <v>26</v>
      </c>
      <c r="U55" s="69">
        <v>22947.42</v>
      </c>
      <c r="V55" s="311">
        <v>272.7</v>
      </c>
      <c r="W55" s="308">
        <v>0.988</v>
      </c>
      <c r="X55" s="112">
        <v>98.4</v>
      </c>
      <c r="Y55" s="311">
        <v>22382</v>
      </c>
      <c r="AH55" s="314"/>
      <c r="AI55" s="314"/>
      <c r="AJ55" s="278"/>
      <c r="AK55" s="315"/>
      <c r="AL55" s="314"/>
      <c r="AM55" s="278"/>
    </row>
    <row r="56" spans="3:39" s="20" customFormat="1" ht="15.75">
      <c r="C56" s="67">
        <v>8</v>
      </c>
      <c r="D56" s="64">
        <v>1051</v>
      </c>
      <c r="E56" s="317" t="s">
        <v>135</v>
      </c>
      <c r="F56" s="306">
        <f t="shared" si="4"/>
        <v>-22140.100000000006</v>
      </c>
      <c r="G56" s="307">
        <f t="shared" si="3"/>
        <v>-120.72000000000003</v>
      </c>
      <c r="I56" s="67">
        <v>19</v>
      </c>
      <c r="J56" s="64">
        <v>1051</v>
      </c>
      <c r="K56" s="317" t="s">
        <v>135</v>
      </c>
      <c r="L56" s="306">
        <v>137197</v>
      </c>
      <c r="M56" s="306">
        <v>1369.9</v>
      </c>
      <c r="N56" s="308">
        <v>0.9900531938839378</v>
      </c>
      <c r="O56" s="87">
        <v>98.6</v>
      </c>
      <c r="P56" s="306">
        <v>136352.7</v>
      </c>
      <c r="Q56" s="309"/>
      <c r="R56" s="67">
        <v>19</v>
      </c>
      <c r="S56" s="67">
        <v>1051</v>
      </c>
      <c r="T56" s="317" t="s">
        <v>135</v>
      </c>
      <c r="U56" s="69">
        <v>112250.1</v>
      </c>
      <c r="V56" s="311">
        <v>1249.18</v>
      </c>
      <c r="W56" s="308">
        <v>0.9892</v>
      </c>
      <c r="X56" s="112">
        <v>98.6</v>
      </c>
      <c r="Y56" s="311">
        <v>114212.6</v>
      </c>
      <c r="AH56" s="314"/>
      <c r="AI56" s="314"/>
      <c r="AJ56" s="278"/>
      <c r="AK56" s="315"/>
      <c r="AL56" s="314"/>
      <c r="AM56" s="278"/>
    </row>
    <row r="57" spans="3:39" s="20" customFormat="1" ht="15.75">
      <c r="C57" s="67">
        <v>9</v>
      </c>
      <c r="D57" s="64">
        <v>1060</v>
      </c>
      <c r="E57" s="317" t="s">
        <v>233</v>
      </c>
      <c r="F57" s="306">
        <f t="shared" si="4"/>
        <v>-5230.919999999999</v>
      </c>
      <c r="G57" s="307">
        <f t="shared" si="3"/>
        <v>-76</v>
      </c>
      <c r="I57" s="67">
        <v>9</v>
      </c>
      <c r="J57" s="64">
        <v>1060</v>
      </c>
      <c r="K57" s="317" t="s">
        <v>233</v>
      </c>
      <c r="L57" s="306">
        <v>11515.1</v>
      </c>
      <c r="M57" s="306">
        <v>164.6</v>
      </c>
      <c r="N57" s="308">
        <v>0.9863332607984263</v>
      </c>
      <c r="O57" s="87">
        <v>98.6</v>
      </c>
      <c r="P57" s="306">
        <v>11875.63</v>
      </c>
      <c r="Q57" s="309"/>
      <c r="R57" s="67">
        <v>9</v>
      </c>
      <c r="S57" s="67">
        <v>1060</v>
      </c>
      <c r="T57" s="317" t="s">
        <v>233</v>
      </c>
      <c r="U57" s="69">
        <v>6723.91</v>
      </c>
      <c r="V57" s="311">
        <v>88.6</v>
      </c>
      <c r="W57" s="308">
        <v>0.9868</v>
      </c>
      <c r="X57" s="112">
        <v>98.6</v>
      </c>
      <c r="Y57" s="311">
        <v>6644.71</v>
      </c>
      <c r="AH57" s="314"/>
      <c r="AI57" s="314"/>
      <c r="AJ57" s="278"/>
      <c r="AK57" s="315"/>
      <c r="AL57" s="314"/>
      <c r="AM57" s="278"/>
    </row>
    <row r="58" spans="1:39" s="20" customFormat="1" ht="18">
      <c r="A58" s="327"/>
      <c r="B58" s="327"/>
      <c r="C58" s="67">
        <v>10</v>
      </c>
      <c r="D58" s="64">
        <v>1585</v>
      </c>
      <c r="E58" s="317" t="s">
        <v>25</v>
      </c>
      <c r="F58" s="306">
        <f t="shared" si="4"/>
        <v>-376.48</v>
      </c>
      <c r="G58" s="307">
        <f t="shared" si="3"/>
        <v>-40.47</v>
      </c>
      <c r="I58" s="67">
        <v>10</v>
      </c>
      <c r="J58" s="64">
        <v>1585</v>
      </c>
      <c r="K58" s="317" t="s">
        <v>25</v>
      </c>
      <c r="L58" s="306">
        <v>2390.2</v>
      </c>
      <c r="M58" s="306">
        <v>129</v>
      </c>
      <c r="N58" s="308">
        <v>0.9450245045812913</v>
      </c>
      <c r="O58" s="324">
        <v>90</v>
      </c>
      <c r="P58" s="306">
        <v>2217.5</v>
      </c>
      <c r="Q58" s="309"/>
      <c r="R58" s="67">
        <v>10</v>
      </c>
      <c r="S58" s="67">
        <v>1585</v>
      </c>
      <c r="T58" s="326" t="s">
        <v>25</v>
      </c>
      <c r="U58" s="69">
        <v>1992.21</v>
      </c>
      <c r="V58" s="311">
        <v>88.53</v>
      </c>
      <c r="W58" s="308">
        <v>0.9541</v>
      </c>
      <c r="X58" s="323">
        <v>90</v>
      </c>
      <c r="Y58" s="311">
        <v>1841.02</v>
      </c>
      <c r="AH58" s="314"/>
      <c r="AI58" s="314"/>
      <c r="AJ58" s="278"/>
      <c r="AK58" s="315"/>
      <c r="AL58" s="314"/>
      <c r="AM58" s="278"/>
    </row>
    <row r="59" spans="3:39" s="20" customFormat="1" ht="15.75">
      <c r="C59" s="67">
        <v>11</v>
      </c>
      <c r="D59" s="64">
        <v>1654</v>
      </c>
      <c r="E59" s="317" t="s">
        <v>245</v>
      </c>
      <c r="F59" s="306">
        <f t="shared" si="4"/>
        <v>-351.17999999999995</v>
      </c>
      <c r="G59" s="307">
        <f t="shared" si="3"/>
        <v>-27.330000000000013</v>
      </c>
      <c r="I59" s="67">
        <v>21</v>
      </c>
      <c r="J59" s="64">
        <v>1654</v>
      </c>
      <c r="K59" s="317" t="s">
        <v>245</v>
      </c>
      <c r="L59" s="306">
        <v>517.6</v>
      </c>
      <c r="M59" s="69">
        <v>138.9</v>
      </c>
      <c r="N59" s="308">
        <v>0.7934163356984547</v>
      </c>
      <c r="O59" s="324">
        <v>70</v>
      </c>
      <c r="P59" s="306">
        <v>533.39</v>
      </c>
      <c r="Q59" s="309"/>
      <c r="R59" s="67">
        <v>21</v>
      </c>
      <c r="S59" s="67">
        <v>1654</v>
      </c>
      <c r="T59" s="317" t="s">
        <v>243</v>
      </c>
      <c r="U59" s="69">
        <v>543.52</v>
      </c>
      <c r="V59" s="311">
        <v>111.57</v>
      </c>
      <c r="W59" s="308">
        <v>0.6409</v>
      </c>
      <c r="X59" s="323">
        <v>70</v>
      </c>
      <c r="Y59" s="311">
        <v>182.21</v>
      </c>
      <c r="AH59" s="314"/>
      <c r="AI59" s="314"/>
      <c r="AJ59" s="278"/>
      <c r="AK59" s="315"/>
      <c r="AL59" s="314"/>
      <c r="AM59" s="278"/>
    </row>
    <row r="60" spans="3:39" s="20" customFormat="1" ht="15.75">
      <c r="C60" s="67">
        <v>12</v>
      </c>
      <c r="D60" s="64">
        <v>1045</v>
      </c>
      <c r="E60" s="317" t="s">
        <v>21</v>
      </c>
      <c r="F60" s="306">
        <f t="shared" si="4"/>
        <v>20.845000000000255</v>
      </c>
      <c r="G60" s="307">
        <f t="shared" si="3"/>
        <v>-23.959999999999994</v>
      </c>
      <c r="I60" s="67">
        <v>2</v>
      </c>
      <c r="J60" s="64">
        <v>1045</v>
      </c>
      <c r="K60" s="317" t="s">
        <v>21</v>
      </c>
      <c r="L60" s="306">
        <v>3281.6</v>
      </c>
      <c r="M60" s="306">
        <v>125.8</v>
      </c>
      <c r="N60" s="308">
        <v>0.9605304640383965</v>
      </c>
      <c r="O60" s="87">
        <v>95.9</v>
      </c>
      <c r="P60" s="306">
        <v>3061.955</v>
      </c>
      <c r="Q60" s="309"/>
      <c r="R60" s="67">
        <v>2</v>
      </c>
      <c r="S60" s="67">
        <v>1045</v>
      </c>
      <c r="T60" s="326" t="s">
        <v>21</v>
      </c>
      <c r="U60" s="69">
        <v>3211.58</v>
      </c>
      <c r="V60" s="311">
        <v>101.84</v>
      </c>
      <c r="W60" s="308">
        <v>0.968</v>
      </c>
      <c r="X60" s="112">
        <v>95.9</v>
      </c>
      <c r="Y60" s="311">
        <v>3082.8</v>
      </c>
      <c r="AH60" s="314"/>
      <c r="AI60" s="314"/>
      <c r="AJ60" s="278"/>
      <c r="AK60" s="315"/>
      <c r="AL60" s="314"/>
      <c r="AM60" s="278"/>
    </row>
    <row r="61" spans="3:39" s="20" customFormat="1" ht="15.75">
      <c r="C61" s="67">
        <v>13</v>
      </c>
      <c r="D61" s="64">
        <v>1638</v>
      </c>
      <c r="E61" s="317" t="s">
        <v>131</v>
      </c>
      <c r="F61" s="306">
        <f t="shared" si="4"/>
        <v>-278.17</v>
      </c>
      <c r="G61" s="307">
        <f t="shared" si="3"/>
        <v>-0.19</v>
      </c>
      <c r="I61" s="67">
        <v>5</v>
      </c>
      <c r="J61" s="64">
        <v>1638</v>
      </c>
      <c r="K61" s="317" t="s">
        <v>131</v>
      </c>
      <c r="L61" s="397">
        <v>364.59</v>
      </c>
      <c r="M61" s="69">
        <v>0.19</v>
      </c>
      <c r="N61" s="398">
        <v>0.9995293884526786</v>
      </c>
      <c r="O61" s="399">
        <v>69.7</v>
      </c>
      <c r="P61" s="306">
        <v>403.73</v>
      </c>
      <c r="Q61" s="309"/>
      <c r="R61" s="67">
        <v>5</v>
      </c>
      <c r="S61" s="64">
        <v>1638</v>
      </c>
      <c r="T61" s="317" t="s">
        <v>131</v>
      </c>
      <c r="U61" s="397">
        <v>124.08</v>
      </c>
      <c r="V61" s="400">
        <v>0</v>
      </c>
      <c r="W61" s="398">
        <v>1</v>
      </c>
      <c r="X61" s="399">
        <v>69.7</v>
      </c>
      <c r="Y61" s="311">
        <v>125.56</v>
      </c>
      <c r="AH61" s="314"/>
      <c r="AI61" s="314"/>
      <c r="AJ61" s="278"/>
      <c r="AK61" s="315"/>
      <c r="AL61" s="314"/>
      <c r="AM61" s="278"/>
    </row>
    <row r="62" spans="3:39" s="20" customFormat="1" ht="18">
      <c r="C62" s="67">
        <v>14</v>
      </c>
      <c r="D62" s="67">
        <v>1629</v>
      </c>
      <c r="E62" s="317" t="s">
        <v>82</v>
      </c>
      <c r="F62" s="306">
        <f t="shared" si="4"/>
        <v>182.59999999999997</v>
      </c>
      <c r="G62" s="307">
        <f t="shared" si="3"/>
        <v>0</v>
      </c>
      <c r="H62" s="327"/>
      <c r="I62" s="67">
        <v>14</v>
      </c>
      <c r="J62" s="67">
        <v>1629</v>
      </c>
      <c r="K62" s="317" t="s">
        <v>82</v>
      </c>
      <c r="L62" s="401">
        <v>389.1</v>
      </c>
      <c r="M62" s="69">
        <v>0</v>
      </c>
      <c r="N62" s="398">
        <v>1</v>
      </c>
      <c r="O62" s="399">
        <v>69.7</v>
      </c>
      <c r="P62" s="306">
        <v>336.7</v>
      </c>
      <c r="Q62" s="309"/>
      <c r="R62" s="67">
        <v>14</v>
      </c>
      <c r="S62" s="67">
        <v>1629</v>
      </c>
      <c r="T62" s="317" t="s">
        <v>82</v>
      </c>
      <c r="U62" s="401">
        <v>514.5</v>
      </c>
      <c r="V62" s="400">
        <v>0</v>
      </c>
      <c r="W62" s="398">
        <v>1</v>
      </c>
      <c r="X62" s="399">
        <v>69.7</v>
      </c>
      <c r="Y62" s="311">
        <v>519.3</v>
      </c>
      <c r="AH62" s="314"/>
      <c r="AI62" s="314"/>
      <c r="AJ62" s="278"/>
      <c r="AK62" s="315"/>
      <c r="AL62" s="314"/>
      <c r="AM62" s="278"/>
    </row>
    <row r="63" spans="3:39" s="20" customFormat="1" ht="15.75">
      <c r="C63" s="67">
        <v>15</v>
      </c>
      <c r="D63" s="64">
        <v>1506</v>
      </c>
      <c r="E63" s="317" t="s">
        <v>27</v>
      </c>
      <c r="F63" s="306">
        <f t="shared" si="4"/>
        <v>2887.790000000001</v>
      </c>
      <c r="G63" s="307">
        <f t="shared" si="3"/>
        <v>25.769999999999982</v>
      </c>
      <c r="I63" s="67">
        <v>13</v>
      </c>
      <c r="J63" s="64">
        <v>1506</v>
      </c>
      <c r="K63" s="317" t="s">
        <v>27</v>
      </c>
      <c r="L63" s="306">
        <v>9215.7</v>
      </c>
      <c r="M63" s="306">
        <v>237.8</v>
      </c>
      <c r="N63" s="308">
        <v>0.9744314973840006</v>
      </c>
      <c r="O63" s="87">
        <v>96.5</v>
      </c>
      <c r="P63" s="306">
        <v>9060.8</v>
      </c>
      <c r="Q63" s="309"/>
      <c r="R63" s="67">
        <v>13</v>
      </c>
      <c r="S63" s="67">
        <v>1506</v>
      </c>
      <c r="T63" s="326" t="s">
        <v>27</v>
      </c>
      <c r="U63" s="69">
        <v>12199.92</v>
      </c>
      <c r="V63" s="311">
        <v>263.57</v>
      </c>
      <c r="W63" s="308">
        <v>0.9784</v>
      </c>
      <c r="X63" s="112">
        <v>96.5</v>
      </c>
      <c r="Y63" s="311">
        <v>11948.59</v>
      </c>
      <c r="AH63" s="314"/>
      <c r="AI63" s="314"/>
      <c r="AJ63" s="278"/>
      <c r="AK63" s="315"/>
      <c r="AL63" s="314"/>
      <c r="AM63" s="278"/>
    </row>
    <row r="64" spans="3:39" s="20" customFormat="1" ht="18">
      <c r="C64" s="67">
        <v>16</v>
      </c>
      <c r="D64" s="64">
        <v>1658</v>
      </c>
      <c r="E64" s="317" t="s">
        <v>200</v>
      </c>
      <c r="F64" s="306">
        <f t="shared" si="4"/>
        <v>4261.200000000001</v>
      </c>
      <c r="G64" s="307">
        <f t="shared" si="3"/>
        <v>51.47999999999999</v>
      </c>
      <c r="H64" s="327"/>
      <c r="I64" s="67">
        <v>16</v>
      </c>
      <c r="J64" s="64">
        <v>1658</v>
      </c>
      <c r="K64" s="317" t="s">
        <v>198</v>
      </c>
      <c r="L64" s="306">
        <v>1882</v>
      </c>
      <c r="M64" s="306">
        <v>127.9</v>
      </c>
      <c r="N64" s="308">
        <v>0.9258808445721148</v>
      </c>
      <c r="O64" s="324">
        <v>70</v>
      </c>
      <c r="P64" s="306">
        <v>1597.4</v>
      </c>
      <c r="Q64" s="309"/>
      <c r="R64" s="67">
        <v>16</v>
      </c>
      <c r="S64" s="67">
        <v>1658</v>
      </c>
      <c r="T64" s="326" t="s">
        <v>198</v>
      </c>
      <c r="U64" s="69">
        <v>6248.5</v>
      </c>
      <c r="V64" s="311">
        <v>179.38</v>
      </c>
      <c r="W64" s="308">
        <v>0.9703</v>
      </c>
      <c r="X64" s="112">
        <v>95.9</v>
      </c>
      <c r="Y64" s="311">
        <v>5858.6</v>
      </c>
      <c r="AH64" s="314"/>
      <c r="AI64" s="314"/>
      <c r="AJ64" s="278"/>
      <c r="AK64" s="315"/>
      <c r="AL64" s="314"/>
      <c r="AM64" s="278"/>
    </row>
    <row r="65" spans="3:39" s="20" customFormat="1" ht="15.75">
      <c r="C65" s="67">
        <v>17</v>
      </c>
      <c r="D65" s="64">
        <v>1134</v>
      </c>
      <c r="E65" s="317" t="s">
        <v>28</v>
      </c>
      <c r="F65" s="306">
        <f t="shared" si="4"/>
        <v>-6821.300000000003</v>
      </c>
      <c r="G65" s="307">
        <f t="shared" si="3"/>
        <v>114.10000000000002</v>
      </c>
      <c r="I65" s="67">
        <v>15</v>
      </c>
      <c r="J65" s="64">
        <v>1134</v>
      </c>
      <c r="K65" s="317" t="s">
        <v>28</v>
      </c>
      <c r="L65" s="306">
        <v>86771</v>
      </c>
      <c r="M65" s="306">
        <v>1002.1</v>
      </c>
      <c r="N65" s="308">
        <v>0.9890330693288184</v>
      </c>
      <c r="O65" s="87">
        <v>98.3</v>
      </c>
      <c r="P65" s="306">
        <v>90372.6</v>
      </c>
      <c r="Q65" s="309"/>
      <c r="R65" s="67">
        <v>15</v>
      </c>
      <c r="S65" s="67">
        <v>1134</v>
      </c>
      <c r="T65" s="326" t="s">
        <v>28</v>
      </c>
      <c r="U65" s="69">
        <v>82650</v>
      </c>
      <c r="V65" s="311">
        <v>1116.2</v>
      </c>
      <c r="W65" s="308">
        <v>0.9868</v>
      </c>
      <c r="X65" s="112">
        <v>98.3</v>
      </c>
      <c r="Y65" s="311">
        <v>83551.3</v>
      </c>
      <c r="AH65" s="314"/>
      <c r="AI65" s="314"/>
      <c r="AJ65" s="278"/>
      <c r="AK65" s="315"/>
      <c r="AL65" s="314"/>
      <c r="AM65" s="278"/>
    </row>
    <row r="66" spans="3:39" s="20" customFormat="1" ht="15.75">
      <c r="C66" s="67">
        <v>18</v>
      </c>
      <c r="D66" s="64">
        <v>1147</v>
      </c>
      <c r="E66" s="317" t="s">
        <v>98</v>
      </c>
      <c r="F66" s="306">
        <f t="shared" si="4"/>
        <v>4885.310000000001</v>
      </c>
      <c r="G66" s="307">
        <f t="shared" si="3"/>
        <v>115.85000000000002</v>
      </c>
      <c r="I66" s="67">
        <v>20</v>
      </c>
      <c r="J66" s="64">
        <v>1147</v>
      </c>
      <c r="K66" s="317" t="s">
        <v>98</v>
      </c>
      <c r="L66" s="306">
        <v>28431.8</v>
      </c>
      <c r="M66" s="306">
        <v>296.2</v>
      </c>
      <c r="N66" s="308">
        <v>0.9896379594333528</v>
      </c>
      <c r="O66" s="87">
        <v>98.3</v>
      </c>
      <c r="P66" s="306">
        <v>28291.8</v>
      </c>
      <c r="Q66" s="309"/>
      <c r="R66" s="67">
        <v>20</v>
      </c>
      <c r="S66" s="67">
        <v>1147</v>
      </c>
      <c r="T66" s="317" t="s">
        <v>98</v>
      </c>
      <c r="U66" s="69">
        <v>33868.42</v>
      </c>
      <c r="V66" s="311">
        <v>412.05</v>
      </c>
      <c r="W66" s="308">
        <v>0.9877</v>
      </c>
      <c r="X66" s="112">
        <v>98.3</v>
      </c>
      <c r="Y66" s="311">
        <v>33177.11</v>
      </c>
      <c r="AH66" s="314"/>
      <c r="AI66" s="314"/>
      <c r="AJ66" s="278"/>
      <c r="AK66" s="315"/>
      <c r="AL66" s="314"/>
      <c r="AM66" s="278"/>
    </row>
    <row r="67" spans="3:39" s="20" customFormat="1" ht="15.75">
      <c r="C67" s="67">
        <v>19</v>
      </c>
      <c r="D67" s="64">
        <v>1892</v>
      </c>
      <c r="E67" s="317" t="s">
        <v>99</v>
      </c>
      <c r="F67" s="306">
        <f t="shared" si="4"/>
        <v>-11561.580000000002</v>
      </c>
      <c r="G67" s="307">
        <f t="shared" si="3"/>
        <v>237.95000000000005</v>
      </c>
      <c r="I67" s="67">
        <v>18</v>
      </c>
      <c r="J67" s="64">
        <v>1892</v>
      </c>
      <c r="K67" s="317" t="s">
        <v>99</v>
      </c>
      <c r="L67" s="309">
        <v>125906.9</v>
      </c>
      <c r="M67" s="309">
        <v>1292.3</v>
      </c>
      <c r="N67" s="358">
        <v>0.9898786715701607</v>
      </c>
      <c r="O67" s="102">
        <v>98.4</v>
      </c>
      <c r="P67" s="309">
        <v>126382.7</v>
      </c>
      <c r="Q67" s="309"/>
      <c r="R67" s="67">
        <v>18</v>
      </c>
      <c r="S67" s="64">
        <v>1892</v>
      </c>
      <c r="T67" s="317" t="s">
        <v>99</v>
      </c>
      <c r="U67" s="402">
        <v>118790.8</v>
      </c>
      <c r="V67" s="312">
        <v>1530.25</v>
      </c>
      <c r="W67" s="358">
        <v>0.9868</v>
      </c>
      <c r="X67" s="25">
        <v>98.4</v>
      </c>
      <c r="Y67" s="312">
        <v>114821.12</v>
      </c>
      <c r="AH67" s="314"/>
      <c r="AI67" s="314"/>
      <c r="AJ67" s="278"/>
      <c r="AK67" s="315"/>
      <c r="AL67" s="314"/>
      <c r="AM67" s="278"/>
    </row>
    <row r="68" spans="3:39" s="20" customFormat="1" ht="15.75">
      <c r="C68" s="67">
        <v>20</v>
      </c>
      <c r="D68" s="64">
        <v>1360</v>
      </c>
      <c r="E68" s="317" t="s">
        <v>130</v>
      </c>
      <c r="F68" s="306">
        <f t="shared" si="4"/>
        <v>-15415.860000000044</v>
      </c>
      <c r="G68" s="307">
        <f t="shared" si="3"/>
        <v>510.73</v>
      </c>
      <c r="I68" s="67">
        <v>1</v>
      </c>
      <c r="J68" s="64">
        <v>1360</v>
      </c>
      <c r="K68" s="317" t="s">
        <v>130</v>
      </c>
      <c r="L68" s="306">
        <v>299824.2</v>
      </c>
      <c r="M68" s="306">
        <v>3434.8</v>
      </c>
      <c r="N68" s="308">
        <v>0.9882509363026843</v>
      </c>
      <c r="O68" s="87">
        <v>98.5</v>
      </c>
      <c r="P68" s="306">
        <v>288911.9</v>
      </c>
      <c r="Q68" s="309"/>
      <c r="R68" s="67">
        <v>1</v>
      </c>
      <c r="S68" s="67">
        <v>1360</v>
      </c>
      <c r="T68" s="317" t="s">
        <v>130</v>
      </c>
      <c r="U68" s="69">
        <v>273143.5</v>
      </c>
      <c r="V68" s="311">
        <v>3945.53</v>
      </c>
      <c r="W68" s="308">
        <v>0.9858</v>
      </c>
      <c r="X68" s="112">
        <v>98.5</v>
      </c>
      <c r="Y68" s="311">
        <v>273496.04</v>
      </c>
      <c r="AH68" s="314"/>
      <c r="AI68" s="314"/>
      <c r="AJ68" s="278"/>
      <c r="AK68" s="315"/>
      <c r="AL68" s="314"/>
      <c r="AM68" s="278"/>
    </row>
    <row r="69" spans="1:39" s="327" customFormat="1" ht="18.75" thickBot="1">
      <c r="A69" s="20"/>
      <c r="B69" s="20"/>
      <c r="C69" s="67">
        <v>21</v>
      </c>
      <c r="D69" s="64">
        <v>1482</v>
      </c>
      <c r="E69" s="317" t="s">
        <v>22</v>
      </c>
      <c r="F69" s="306">
        <f t="shared" si="4"/>
        <v>34904.610000000015</v>
      </c>
      <c r="G69" s="307">
        <f t="shared" si="3"/>
        <v>516.82</v>
      </c>
      <c r="H69" s="20"/>
      <c r="I69" s="67">
        <v>3</v>
      </c>
      <c r="J69" s="64">
        <v>1482</v>
      </c>
      <c r="K69" s="317" t="s">
        <v>22</v>
      </c>
      <c r="L69" s="306">
        <v>97601</v>
      </c>
      <c r="M69" s="306">
        <v>917.1</v>
      </c>
      <c r="N69" s="308">
        <v>0.9905862516723676</v>
      </c>
      <c r="O69" s="87">
        <v>98.4</v>
      </c>
      <c r="P69" s="306">
        <v>96505.4</v>
      </c>
      <c r="Q69" s="309"/>
      <c r="R69" s="104">
        <v>3</v>
      </c>
      <c r="S69" s="67">
        <v>1482</v>
      </c>
      <c r="T69" s="326" t="s">
        <v>22</v>
      </c>
      <c r="U69" s="69">
        <v>129963.7</v>
      </c>
      <c r="V69" s="311">
        <v>1433.92</v>
      </c>
      <c r="W69" s="308">
        <v>0.9892</v>
      </c>
      <c r="X69" s="112">
        <v>98.4</v>
      </c>
      <c r="Y69" s="311">
        <v>131410.01</v>
      </c>
      <c r="AH69" s="355"/>
      <c r="AI69" s="355"/>
      <c r="AJ69" s="357"/>
      <c r="AK69" s="356"/>
      <c r="AL69" s="355"/>
      <c r="AM69" s="357"/>
    </row>
    <row r="70" spans="1:39" s="322" customFormat="1" ht="18">
      <c r="A70" s="20"/>
      <c r="B70" s="20"/>
      <c r="D70" s="328" t="s">
        <v>62</v>
      </c>
      <c r="E70" s="328"/>
      <c r="F70" s="331">
        <f>SUM(F49:F69)</f>
        <v>-329459.2490000002</v>
      </c>
      <c r="G70" s="331">
        <f>SUM(G49:G69)</f>
        <v>-3513.92</v>
      </c>
      <c r="I70" s="396"/>
      <c r="J70" s="328" t="s">
        <v>62</v>
      </c>
      <c r="K70" s="328"/>
      <c r="L70" s="331">
        <f>SUM(L49:L69)</f>
        <v>3103887.9900000007</v>
      </c>
      <c r="M70" s="331">
        <f>SUM(M49:M69)</f>
        <v>21093.989999999998</v>
      </c>
      <c r="N70" s="332">
        <f>P70/(P70+M70)</f>
        <v>0.9932473234930138</v>
      </c>
      <c r="O70" s="333"/>
      <c r="P70" s="331">
        <f>SUM(P49:P69)</f>
        <v>3102702.919</v>
      </c>
      <c r="Q70" s="334"/>
      <c r="R70" s="396"/>
      <c r="S70" s="328" t="s">
        <v>62</v>
      </c>
      <c r="T70" s="328"/>
      <c r="U70" s="403">
        <f>SUM(U49:U69)</f>
        <v>2818179.4699999997</v>
      </c>
      <c r="V70" s="335">
        <f>SUM(V49:V69)</f>
        <v>17580.07</v>
      </c>
      <c r="W70" s="332">
        <f>Y70/(Y70+V70)</f>
        <v>0.9937007594754086</v>
      </c>
      <c r="X70" s="328"/>
      <c r="Y70" s="337">
        <f>SUM(Y49:Y69)</f>
        <v>2773243.669999999</v>
      </c>
      <c r="AH70" s="354"/>
      <c r="AI70" s="354"/>
      <c r="AJ70" s="354"/>
      <c r="AK70" s="354"/>
      <c r="AL70" s="339"/>
      <c r="AM70" s="340"/>
    </row>
    <row r="71" spans="1:39" s="20" customFormat="1" ht="20.25">
      <c r="A71" s="27"/>
      <c r="B71" s="27"/>
      <c r="C71" s="326"/>
      <c r="D71" s="404" t="s">
        <v>220</v>
      </c>
      <c r="E71" s="404"/>
      <c r="F71" s="405">
        <f>F36+F70+F41+F45</f>
        <v>-1194084.569</v>
      </c>
      <c r="G71" s="405">
        <f>G36+G70+G41+G45</f>
        <v>-21495.973999999995</v>
      </c>
      <c r="L71" s="315"/>
      <c r="M71" s="315"/>
      <c r="O71" s="33"/>
      <c r="P71" s="315"/>
      <c r="Q71" s="343"/>
      <c r="U71" s="345"/>
      <c r="V71" s="315"/>
      <c r="W71" s="321"/>
      <c r="Y71" s="315"/>
      <c r="AH71" s="314"/>
      <c r="AI71" s="314"/>
      <c r="AJ71" s="314"/>
      <c r="AK71" s="315"/>
      <c r="AM71" s="278"/>
    </row>
    <row r="72" spans="1:39" s="20" customFormat="1" ht="20.25">
      <c r="A72" s="27"/>
      <c r="B72" s="27"/>
      <c r="C72" s="404"/>
      <c r="D72" s="404"/>
      <c r="E72" s="404"/>
      <c r="F72" s="405"/>
      <c r="G72" s="405"/>
      <c r="I72" s="27"/>
      <c r="J72" s="404"/>
      <c r="K72" s="404" t="s">
        <v>220</v>
      </c>
      <c r="L72" s="405">
        <f>L36+L41+L70+L45</f>
        <v>6528880.720000001</v>
      </c>
      <c r="M72" s="405">
        <f>M36+M41+M70+M45</f>
        <v>78790.294</v>
      </c>
      <c r="N72" s="406">
        <f>P72/(P72+M72)</f>
        <v>0.9880858811897753</v>
      </c>
      <c r="O72" s="407"/>
      <c r="P72" s="405">
        <f>P36+P41+P70+P45</f>
        <v>6534396.569</v>
      </c>
      <c r="Q72" s="343"/>
      <c r="R72" s="404"/>
      <c r="S72" s="404"/>
      <c r="T72" s="404" t="s">
        <v>220</v>
      </c>
      <c r="U72" s="407">
        <f>U36+U41+U70+U45</f>
        <v>5459649.699999999</v>
      </c>
      <c r="V72" s="407">
        <f>V36+V41+V70+V45</f>
        <v>57294.32000000001</v>
      </c>
      <c r="W72" s="408">
        <f>Y72/(Y72+V72)</f>
        <v>0.9893852354908313</v>
      </c>
      <c r="X72" s="407"/>
      <c r="Y72" s="407">
        <f>Y36+Y41+Y70+Y45</f>
        <v>5340312</v>
      </c>
      <c r="AH72" s="314"/>
      <c r="AI72" s="314"/>
      <c r="AJ72" s="314"/>
      <c r="AK72" s="315"/>
      <c r="AM72" s="278"/>
    </row>
    <row r="73" spans="1:39" s="404" customFormat="1" ht="20.25">
      <c r="A73" s="67"/>
      <c r="B73" s="67"/>
      <c r="C73" s="112"/>
      <c r="D73" s="409"/>
      <c r="E73" s="112"/>
      <c r="F73" s="315"/>
      <c r="G73" s="315"/>
      <c r="I73" s="67"/>
      <c r="J73" s="409"/>
      <c r="K73" s="112"/>
      <c r="L73" s="306"/>
      <c r="M73" s="306"/>
      <c r="N73" s="20"/>
      <c r="O73" s="33"/>
      <c r="P73" s="315"/>
      <c r="Q73" s="410"/>
      <c r="R73" s="112" t="s">
        <v>299</v>
      </c>
      <c r="S73" s="20"/>
      <c r="T73" s="411"/>
      <c r="U73" s="411"/>
      <c r="V73" s="411"/>
      <c r="X73" s="411"/>
      <c r="Y73" s="411"/>
      <c r="AM73" s="412"/>
    </row>
    <row r="74" spans="1:39" s="404" customFormat="1" ht="20.25">
      <c r="A74" s="41"/>
      <c r="B74" s="41"/>
      <c r="C74" s="20"/>
      <c r="D74" s="20"/>
      <c r="E74" s="20"/>
      <c r="F74" s="315"/>
      <c r="G74" s="315"/>
      <c r="I74" s="41"/>
      <c r="J74" s="20"/>
      <c r="K74" s="20"/>
      <c r="L74" s="315"/>
      <c r="M74" s="315"/>
      <c r="N74" s="20"/>
      <c r="O74" s="33"/>
      <c r="P74" s="315"/>
      <c r="Q74" s="410"/>
      <c r="R74" s="20"/>
      <c r="S74" s="20"/>
      <c r="T74" s="20"/>
      <c r="U74" s="345"/>
      <c r="V74" s="315"/>
      <c r="W74" s="321"/>
      <c r="X74" s="20"/>
      <c r="Y74" s="315"/>
      <c r="AM74" s="412"/>
    </row>
    <row r="75" spans="1:39" s="20" customFormat="1" ht="12.75">
      <c r="A75" s="41"/>
      <c r="B75" s="41"/>
      <c r="F75" s="315"/>
      <c r="G75" s="315"/>
      <c r="I75" s="41"/>
      <c r="L75" s="315"/>
      <c r="M75" s="315"/>
      <c r="O75" s="33"/>
      <c r="P75" s="315"/>
      <c r="Q75" s="343"/>
      <c r="U75" s="345"/>
      <c r="V75" s="315"/>
      <c r="W75" s="321"/>
      <c r="Y75" s="315"/>
      <c r="AM75" s="278"/>
    </row>
    <row r="76" spans="1:39" s="20" customFormat="1" ht="18">
      <c r="A76" s="41"/>
      <c r="B76" s="41"/>
      <c r="F76" s="315"/>
      <c r="G76" s="315"/>
      <c r="L76" s="315"/>
      <c r="M76" s="315"/>
      <c r="O76" s="33"/>
      <c r="P76" s="315"/>
      <c r="Q76" s="343"/>
      <c r="U76" s="345"/>
      <c r="V76" s="315"/>
      <c r="W76" s="321"/>
      <c r="Y76" s="315"/>
      <c r="Z76" s="411"/>
      <c r="AA76" s="413"/>
      <c r="AB76" s="327"/>
      <c r="AM76" s="278"/>
    </row>
    <row r="77" spans="6:39" s="20" customFormat="1" ht="12.75">
      <c r="F77" s="315"/>
      <c r="G77" s="315"/>
      <c r="L77" s="315"/>
      <c r="M77" s="315"/>
      <c r="O77" s="33"/>
      <c r="P77" s="315"/>
      <c r="Q77" s="343"/>
      <c r="U77" s="345"/>
      <c r="V77" s="315"/>
      <c r="W77" s="321"/>
      <c r="Y77" s="315"/>
      <c r="AM77" s="278"/>
    </row>
    <row r="78" spans="6:39" s="20" customFormat="1" ht="12.75">
      <c r="F78" s="315"/>
      <c r="G78" s="315"/>
      <c r="L78" s="315"/>
      <c r="M78" s="315"/>
      <c r="O78" s="33"/>
      <c r="P78" s="315"/>
      <c r="Q78" s="343"/>
      <c r="U78" s="345"/>
      <c r="V78" s="315"/>
      <c r="W78" s="321"/>
      <c r="Y78" s="315"/>
      <c r="AM78" s="278"/>
    </row>
    <row r="79" spans="6:39" s="20" customFormat="1" ht="15">
      <c r="F79" s="315"/>
      <c r="G79" s="315"/>
      <c r="I79" s="112"/>
      <c r="Q79" s="343"/>
      <c r="AM79" s="278"/>
    </row>
    <row r="80" spans="6:39" s="20" customFormat="1" ht="15">
      <c r="F80" s="315"/>
      <c r="G80" s="315"/>
      <c r="I80" s="112"/>
      <c r="Q80" s="343"/>
      <c r="AM80" s="278"/>
    </row>
    <row r="81" spans="6:39" s="20" customFormat="1" ht="12.75">
      <c r="F81" s="315"/>
      <c r="G81" s="315"/>
      <c r="L81" s="315"/>
      <c r="M81" s="315"/>
      <c r="O81" s="33"/>
      <c r="P81" s="315"/>
      <c r="Q81" s="343"/>
      <c r="U81" s="345"/>
      <c r="V81" s="315"/>
      <c r="W81" s="321"/>
      <c r="Y81" s="315"/>
      <c r="AM81" s="278"/>
    </row>
    <row r="82" spans="6:39" s="20" customFormat="1" ht="12.75">
      <c r="F82" s="315"/>
      <c r="G82" s="315"/>
      <c r="L82" s="315"/>
      <c r="M82" s="315"/>
      <c r="O82" s="33"/>
      <c r="P82" s="315"/>
      <c r="Q82" s="34"/>
      <c r="U82" s="345"/>
      <c r="V82" s="315"/>
      <c r="W82" s="321"/>
      <c r="Y82" s="315"/>
      <c r="AM82" s="278"/>
    </row>
    <row r="83" spans="6:39" s="20" customFormat="1" ht="12.75">
      <c r="F83" s="315"/>
      <c r="G83" s="315"/>
      <c r="L83" s="315"/>
      <c r="M83" s="315"/>
      <c r="O83" s="33"/>
      <c r="P83" s="315"/>
      <c r="Q83" s="34"/>
      <c r="U83" s="345"/>
      <c r="V83" s="315"/>
      <c r="W83" s="321"/>
      <c r="Y83" s="315"/>
      <c r="AM83" s="278"/>
    </row>
    <row r="84" spans="6:39" s="20" customFormat="1" ht="12.75">
      <c r="F84" s="315"/>
      <c r="G84" s="315"/>
      <c r="L84" s="315"/>
      <c r="M84" s="315"/>
      <c r="O84" s="33"/>
      <c r="P84" s="315"/>
      <c r="Q84" s="343"/>
      <c r="U84" s="345"/>
      <c r="V84" s="315"/>
      <c r="W84" s="321"/>
      <c r="Y84" s="315"/>
      <c r="AM84" s="278"/>
    </row>
    <row r="85" spans="6:39" s="20" customFormat="1" ht="12.75">
      <c r="F85" s="315"/>
      <c r="G85" s="315"/>
      <c r="L85" s="315"/>
      <c r="M85" s="315"/>
      <c r="O85" s="33"/>
      <c r="P85" s="315"/>
      <c r="Q85" s="343"/>
      <c r="U85" s="345"/>
      <c r="V85" s="315"/>
      <c r="W85" s="321"/>
      <c r="Y85" s="315"/>
      <c r="AM85" s="278"/>
    </row>
    <row r="86" spans="6:39" s="20" customFormat="1" ht="12.75">
      <c r="F86" s="315"/>
      <c r="G86" s="315"/>
      <c r="L86" s="315"/>
      <c r="M86" s="315"/>
      <c r="O86" s="33"/>
      <c r="P86" s="315"/>
      <c r="Q86" s="343"/>
      <c r="U86" s="345"/>
      <c r="V86" s="315"/>
      <c r="W86" s="321"/>
      <c r="Y86" s="315"/>
      <c r="AM86" s="278"/>
    </row>
    <row r="87" spans="6:39" s="20" customFormat="1" ht="12.75">
      <c r="F87" s="315"/>
      <c r="G87" s="315"/>
      <c r="L87" s="315"/>
      <c r="M87" s="315"/>
      <c r="O87" s="33"/>
      <c r="P87" s="315"/>
      <c r="Q87" s="343"/>
      <c r="U87" s="345"/>
      <c r="V87" s="315"/>
      <c r="W87" s="321"/>
      <c r="Y87" s="315"/>
      <c r="AM87" s="278"/>
    </row>
    <row r="88" spans="6:39" s="20" customFormat="1" ht="12.75">
      <c r="F88" s="315"/>
      <c r="G88" s="315"/>
      <c r="L88" s="315"/>
      <c r="M88" s="315"/>
      <c r="O88" s="33"/>
      <c r="P88" s="315"/>
      <c r="Q88" s="343"/>
      <c r="U88" s="345"/>
      <c r="V88" s="315"/>
      <c r="W88" s="321"/>
      <c r="Y88" s="315"/>
      <c r="AM88" s="278"/>
    </row>
    <row r="89" spans="6:39" s="20" customFormat="1" ht="12.75">
      <c r="F89" s="315"/>
      <c r="G89" s="315"/>
      <c r="L89" s="315"/>
      <c r="M89" s="315"/>
      <c r="O89" s="33"/>
      <c r="P89" s="315"/>
      <c r="Q89" s="343"/>
      <c r="U89" s="345"/>
      <c r="V89" s="315"/>
      <c r="W89" s="321"/>
      <c r="Y89" s="315"/>
      <c r="AM89" s="278"/>
    </row>
    <row r="90" spans="6:39" s="20" customFormat="1" ht="12.75">
      <c r="F90" s="315"/>
      <c r="G90" s="315"/>
      <c r="L90" s="315"/>
      <c r="M90" s="315"/>
      <c r="O90" s="33"/>
      <c r="P90" s="315"/>
      <c r="Q90" s="343"/>
      <c r="U90" s="345"/>
      <c r="V90" s="315"/>
      <c r="W90" s="321"/>
      <c r="Y90" s="315"/>
      <c r="AM90" s="278"/>
    </row>
    <row r="91" spans="6:39" s="20" customFormat="1" ht="12.75">
      <c r="F91" s="315"/>
      <c r="G91" s="315"/>
      <c r="L91" s="315"/>
      <c r="M91" s="315"/>
      <c r="O91" s="33"/>
      <c r="P91" s="315"/>
      <c r="Q91" s="343"/>
      <c r="U91" s="345"/>
      <c r="V91" s="315"/>
      <c r="W91" s="321"/>
      <c r="Y91" s="315"/>
      <c r="AM91" s="278"/>
    </row>
    <row r="92" spans="6:39" s="20" customFormat="1" ht="12.75">
      <c r="F92" s="315"/>
      <c r="G92" s="315"/>
      <c r="L92" s="315"/>
      <c r="M92" s="315"/>
      <c r="O92" s="33"/>
      <c r="P92" s="315"/>
      <c r="Q92" s="343"/>
      <c r="U92" s="345"/>
      <c r="V92" s="315"/>
      <c r="W92" s="321"/>
      <c r="Y92" s="315"/>
      <c r="AM92" s="278"/>
    </row>
    <row r="93" spans="6:39" s="20" customFormat="1" ht="12.75">
      <c r="F93" s="315"/>
      <c r="G93" s="315"/>
      <c r="L93" s="315"/>
      <c r="M93" s="315"/>
      <c r="O93" s="33"/>
      <c r="P93" s="315"/>
      <c r="Q93" s="343"/>
      <c r="U93" s="345"/>
      <c r="V93" s="315"/>
      <c r="W93" s="321"/>
      <c r="Y93" s="315"/>
      <c r="AM93" s="278"/>
    </row>
    <row r="94" spans="6:39" s="20" customFormat="1" ht="12.75">
      <c r="F94" s="315"/>
      <c r="G94" s="315"/>
      <c r="L94" s="315"/>
      <c r="M94" s="315"/>
      <c r="O94" s="33"/>
      <c r="P94" s="315"/>
      <c r="Q94" s="343"/>
      <c r="U94" s="345"/>
      <c r="V94" s="315"/>
      <c r="W94" s="321"/>
      <c r="Y94" s="315"/>
      <c r="AM94" s="278"/>
    </row>
    <row r="95" spans="6:39" s="20" customFormat="1" ht="12.75">
      <c r="F95" s="315"/>
      <c r="G95" s="315"/>
      <c r="L95" s="315"/>
      <c r="M95" s="315"/>
      <c r="O95" s="33"/>
      <c r="P95" s="315"/>
      <c r="Q95" s="343"/>
      <c r="U95" s="345"/>
      <c r="V95" s="315"/>
      <c r="W95" s="321"/>
      <c r="Y95" s="315"/>
      <c r="AM95" s="278"/>
    </row>
    <row r="96" spans="6:39" s="20" customFormat="1" ht="12.75">
      <c r="F96" s="315"/>
      <c r="G96" s="315"/>
      <c r="L96" s="315"/>
      <c r="M96" s="315"/>
      <c r="O96" s="33"/>
      <c r="P96" s="315"/>
      <c r="Q96" s="343"/>
      <c r="U96" s="345"/>
      <c r="V96" s="315"/>
      <c r="W96" s="321"/>
      <c r="Y96" s="315"/>
      <c r="AM96" s="278"/>
    </row>
    <row r="97" spans="6:39" s="20" customFormat="1" ht="12.75">
      <c r="F97" s="315"/>
      <c r="G97" s="315"/>
      <c r="L97" s="315"/>
      <c r="M97" s="315"/>
      <c r="O97" s="33"/>
      <c r="P97" s="315"/>
      <c r="Q97" s="343"/>
      <c r="U97" s="345"/>
      <c r="V97" s="315"/>
      <c r="W97" s="321"/>
      <c r="Y97" s="315"/>
      <c r="AM97" s="278"/>
    </row>
    <row r="98" spans="6:39" s="20" customFormat="1" ht="12.75">
      <c r="F98" s="315"/>
      <c r="G98" s="315"/>
      <c r="L98" s="315"/>
      <c r="M98" s="315"/>
      <c r="O98" s="33"/>
      <c r="P98" s="315"/>
      <c r="Q98" s="343"/>
      <c r="U98" s="345"/>
      <c r="V98" s="315"/>
      <c r="W98" s="321"/>
      <c r="Y98" s="315"/>
      <c r="AM98" s="278"/>
    </row>
    <row r="99" spans="6:39" s="20" customFormat="1" ht="12.75">
      <c r="F99" s="315"/>
      <c r="G99" s="315"/>
      <c r="L99" s="315"/>
      <c r="M99" s="315"/>
      <c r="O99" s="33"/>
      <c r="P99" s="315"/>
      <c r="Q99" s="343"/>
      <c r="U99" s="345"/>
      <c r="V99" s="315"/>
      <c r="W99" s="321"/>
      <c r="Y99" s="315"/>
      <c r="AM99" s="278"/>
    </row>
    <row r="100" spans="6:39" s="20" customFormat="1" ht="12.75">
      <c r="F100" s="315"/>
      <c r="G100" s="315"/>
      <c r="L100" s="315"/>
      <c r="M100" s="315"/>
      <c r="O100" s="33"/>
      <c r="P100" s="315"/>
      <c r="Q100" s="343"/>
      <c r="U100" s="345"/>
      <c r="V100" s="315"/>
      <c r="W100" s="321"/>
      <c r="Y100" s="315"/>
      <c r="AM100" s="278"/>
    </row>
    <row r="101" spans="6:39" s="20" customFormat="1" ht="12.75">
      <c r="F101" s="315"/>
      <c r="G101" s="315"/>
      <c r="L101" s="315"/>
      <c r="M101" s="315"/>
      <c r="O101" s="33"/>
      <c r="P101" s="315"/>
      <c r="Q101" s="343"/>
      <c r="U101" s="345"/>
      <c r="V101" s="315"/>
      <c r="W101" s="321"/>
      <c r="Y101" s="315"/>
      <c r="AM101" s="278"/>
    </row>
    <row r="102" spans="6:39" s="20" customFormat="1" ht="12.75">
      <c r="F102" s="315"/>
      <c r="G102" s="315"/>
      <c r="L102" s="315"/>
      <c r="M102" s="315"/>
      <c r="O102" s="33"/>
      <c r="P102" s="315"/>
      <c r="Q102" s="343"/>
      <c r="U102" s="345"/>
      <c r="V102" s="315"/>
      <c r="W102" s="321"/>
      <c r="Y102" s="315"/>
      <c r="AM102" s="278"/>
    </row>
    <row r="103" spans="6:39" s="20" customFormat="1" ht="12.75">
      <c r="F103" s="315"/>
      <c r="G103" s="315"/>
      <c r="L103" s="315"/>
      <c r="M103" s="315"/>
      <c r="O103" s="33"/>
      <c r="P103" s="315"/>
      <c r="Q103" s="343"/>
      <c r="U103" s="345"/>
      <c r="V103" s="315"/>
      <c r="W103" s="321"/>
      <c r="Y103" s="315"/>
      <c r="AM103" s="278"/>
    </row>
    <row r="104" spans="6:39" s="20" customFormat="1" ht="12.75">
      <c r="F104" s="315"/>
      <c r="G104" s="315"/>
      <c r="L104" s="315"/>
      <c r="M104" s="315"/>
      <c r="O104" s="33"/>
      <c r="P104" s="315"/>
      <c r="Q104" s="343"/>
      <c r="U104" s="345"/>
      <c r="V104" s="315"/>
      <c r="W104" s="321"/>
      <c r="Y104" s="315"/>
      <c r="AM104" s="278"/>
    </row>
    <row r="105" spans="6:39" s="20" customFormat="1" ht="12.75">
      <c r="F105" s="315"/>
      <c r="G105" s="315"/>
      <c r="L105" s="315"/>
      <c r="M105" s="315"/>
      <c r="O105" s="33"/>
      <c r="P105" s="315"/>
      <c r="Q105" s="343"/>
      <c r="U105" s="345"/>
      <c r="V105" s="315"/>
      <c r="W105" s="321"/>
      <c r="Y105" s="315"/>
      <c r="AM105" s="278"/>
    </row>
    <row r="106" spans="6:39" s="20" customFormat="1" ht="12.75">
      <c r="F106" s="315"/>
      <c r="G106" s="315"/>
      <c r="L106" s="315"/>
      <c r="M106" s="315"/>
      <c r="O106" s="33"/>
      <c r="P106" s="315"/>
      <c r="Q106" s="343"/>
      <c r="U106" s="345"/>
      <c r="V106" s="315"/>
      <c r="W106" s="321"/>
      <c r="Y106" s="315"/>
      <c r="AM106" s="278"/>
    </row>
    <row r="107" spans="6:39" s="20" customFormat="1" ht="12.75">
      <c r="F107" s="315"/>
      <c r="G107" s="315"/>
      <c r="L107" s="315"/>
      <c r="M107" s="315"/>
      <c r="O107" s="33"/>
      <c r="P107" s="315"/>
      <c r="Q107" s="343"/>
      <c r="U107" s="345"/>
      <c r="V107" s="315"/>
      <c r="W107" s="321"/>
      <c r="Y107" s="315"/>
      <c r="AM107" s="278"/>
    </row>
    <row r="108" spans="6:39" s="20" customFormat="1" ht="12.75">
      <c r="F108" s="315"/>
      <c r="G108" s="315"/>
      <c r="L108" s="315"/>
      <c r="M108" s="315"/>
      <c r="O108" s="33"/>
      <c r="P108" s="315"/>
      <c r="Q108" s="343"/>
      <c r="U108" s="345"/>
      <c r="V108" s="315"/>
      <c r="W108" s="321"/>
      <c r="Y108" s="315"/>
      <c r="AM108" s="278"/>
    </row>
    <row r="109" spans="6:39" s="20" customFormat="1" ht="12.75">
      <c r="F109" s="315"/>
      <c r="G109" s="315"/>
      <c r="L109" s="315"/>
      <c r="M109" s="315"/>
      <c r="O109" s="33"/>
      <c r="P109" s="315"/>
      <c r="Q109" s="343"/>
      <c r="U109" s="345"/>
      <c r="V109" s="315"/>
      <c r="W109" s="321"/>
      <c r="Y109" s="315"/>
      <c r="AM109" s="278"/>
    </row>
    <row r="110" spans="6:39" s="20" customFormat="1" ht="12.75">
      <c r="F110" s="315"/>
      <c r="G110" s="315"/>
      <c r="L110" s="315"/>
      <c r="M110" s="315"/>
      <c r="O110" s="33"/>
      <c r="P110" s="315"/>
      <c r="Q110" s="343"/>
      <c r="U110" s="345"/>
      <c r="V110" s="315"/>
      <c r="W110" s="321"/>
      <c r="Y110" s="315"/>
      <c r="AM110" s="278"/>
    </row>
    <row r="111" spans="6:39" s="20" customFormat="1" ht="12.75">
      <c r="F111" s="315"/>
      <c r="G111" s="315"/>
      <c r="L111" s="315"/>
      <c r="M111" s="315"/>
      <c r="O111" s="33"/>
      <c r="P111" s="315"/>
      <c r="Q111" s="343"/>
      <c r="U111" s="345"/>
      <c r="V111" s="315"/>
      <c r="W111" s="321"/>
      <c r="Y111" s="315"/>
      <c r="AM111" s="278"/>
    </row>
    <row r="112" spans="6:39" s="20" customFormat="1" ht="12.75">
      <c r="F112" s="315"/>
      <c r="G112" s="315"/>
      <c r="L112" s="315"/>
      <c r="M112" s="315"/>
      <c r="O112" s="33"/>
      <c r="P112" s="315"/>
      <c r="Q112" s="343"/>
      <c r="U112" s="345"/>
      <c r="V112" s="315"/>
      <c r="W112" s="321"/>
      <c r="Y112" s="315"/>
      <c r="AM112" s="278"/>
    </row>
    <row r="113" spans="6:39" s="20" customFormat="1" ht="12.75">
      <c r="F113" s="315"/>
      <c r="G113" s="315"/>
      <c r="L113" s="315"/>
      <c r="M113" s="315"/>
      <c r="O113" s="33"/>
      <c r="P113" s="315"/>
      <c r="Q113" s="343"/>
      <c r="U113" s="345"/>
      <c r="V113" s="315"/>
      <c r="W113" s="321"/>
      <c r="Y113" s="315"/>
      <c r="AM113" s="278"/>
    </row>
    <row r="114" spans="6:39" s="20" customFormat="1" ht="12.75">
      <c r="F114" s="315"/>
      <c r="G114" s="315"/>
      <c r="L114" s="315"/>
      <c r="M114" s="315"/>
      <c r="O114" s="33"/>
      <c r="P114" s="315"/>
      <c r="Q114" s="343"/>
      <c r="U114" s="345"/>
      <c r="V114" s="315"/>
      <c r="W114" s="321"/>
      <c r="Y114" s="315"/>
      <c r="AM114" s="278"/>
    </row>
    <row r="115" spans="6:39" s="20" customFormat="1" ht="12.75">
      <c r="F115" s="315"/>
      <c r="G115" s="315"/>
      <c r="L115" s="315"/>
      <c r="M115" s="315"/>
      <c r="O115" s="33"/>
      <c r="P115" s="315"/>
      <c r="Q115" s="343"/>
      <c r="U115" s="345"/>
      <c r="V115" s="315"/>
      <c r="W115" s="321"/>
      <c r="Y115" s="315"/>
      <c r="AM115" s="278"/>
    </row>
    <row r="116" spans="6:39" s="20" customFormat="1" ht="12.75">
      <c r="F116" s="315"/>
      <c r="G116" s="315"/>
      <c r="L116" s="315"/>
      <c r="M116" s="315"/>
      <c r="O116" s="33"/>
      <c r="P116" s="315"/>
      <c r="Q116" s="343"/>
      <c r="U116" s="345"/>
      <c r="V116" s="315"/>
      <c r="W116" s="321"/>
      <c r="Y116" s="315"/>
      <c r="AM116" s="278"/>
    </row>
    <row r="117" spans="6:39" s="20" customFormat="1" ht="12.75">
      <c r="F117" s="315"/>
      <c r="G117" s="315"/>
      <c r="L117" s="315"/>
      <c r="M117" s="315"/>
      <c r="O117" s="33"/>
      <c r="P117" s="315"/>
      <c r="Q117" s="343"/>
      <c r="U117" s="345"/>
      <c r="V117" s="315"/>
      <c r="W117" s="321"/>
      <c r="Y117" s="315"/>
      <c r="AM117" s="278"/>
    </row>
    <row r="118" spans="6:39" s="20" customFormat="1" ht="12.75">
      <c r="F118" s="315"/>
      <c r="G118" s="315"/>
      <c r="L118" s="315"/>
      <c r="M118" s="315"/>
      <c r="O118" s="33"/>
      <c r="P118" s="315"/>
      <c r="Q118" s="343"/>
      <c r="U118" s="345"/>
      <c r="V118" s="315"/>
      <c r="W118" s="321"/>
      <c r="Y118" s="315"/>
      <c r="AM118" s="278"/>
    </row>
    <row r="119" spans="6:39" s="20" customFormat="1" ht="12.75">
      <c r="F119" s="315"/>
      <c r="G119" s="315"/>
      <c r="L119" s="315"/>
      <c r="M119" s="315"/>
      <c r="O119" s="33"/>
      <c r="P119" s="315"/>
      <c r="Q119" s="343"/>
      <c r="U119" s="345"/>
      <c r="V119" s="315"/>
      <c r="W119" s="321"/>
      <c r="Y119" s="315"/>
      <c r="AM119" s="278"/>
    </row>
    <row r="120" spans="6:39" s="20" customFormat="1" ht="12.75">
      <c r="F120" s="315"/>
      <c r="G120" s="315"/>
      <c r="L120" s="315"/>
      <c r="M120" s="315"/>
      <c r="O120" s="33"/>
      <c r="P120" s="315"/>
      <c r="Q120" s="343"/>
      <c r="U120" s="345"/>
      <c r="V120" s="315"/>
      <c r="W120" s="321"/>
      <c r="Y120" s="315"/>
      <c r="AM120" s="278"/>
    </row>
    <row r="121" spans="6:39" s="20" customFormat="1" ht="12.75">
      <c r="F121" s="315"/>
      <c r="G121" s="315"/>
      <c r="L121" s="315"/>
      <c r="M121" s="315"/>
      <c r="O121" s="33"/>
      <c r="P121" s="315"/>
      <c r="Q121" s="343"/>
      <c r="U121" s="345"/>
      <c r="V121" s="315"/>
      <c r="W121" s="321"/>
      <c r="Y121" s="315"/>
      <c r="AM121" s="278"/>
    </row>
    <row r="122" spans="6:39" s="20" customFormat="1" ht="12.75">
      <c r="F122" s="315"/>
      <c r="G122" s="315"/>
      <c r="L122" s="315"/>
      <c r="M122" s="315"/>
      <c r="O122" s="33"/>
      <c r="P122" s="315"/>
      <c r="Q122" s="343"/>
      <c r="U122" s="345"/>
      <c r="V122" s="315"/>
      <c r="W122" s="321"/>
      <c r="Y122" s="315"/>
      <c r="AM122" s="278"/>
    </row>
    <row r="123" spans="6:39" s="20" customFormat="1" ht="12.75">
      <c r="F123" s="315"/>
      <c r="G123" s="315"/>
      <c r="L123" s="315"/>
      <c r="M123" s="315"/>
      <c r="O123" s="33"/>
      <c r="P123" s="315"/>
      <c r="Q123" s="343"/>
      <c r="U123" s="345"/>
      <c r="V123" s="315"/>
      <c r="W123" s="321"/>
      <c r="Y123" s="315"/>
      <c r="AM123" s="278"/>
    </row>
    <row r="124" spans="6:39" s="20" customFormat="1" ht="12.75">
      <c r="F124" s="315"/>
      <c r="G124" s="315"/>
      <c r="L124" s="315"/>
      <c r="M124" s="315"/>
      <c r="O124" s="33"/>
      <c r="P124" s="315"/>
      <c r="Q124" s="343"/>
      <c r="U124" s="345"/>
      <c r="V124" s="315"/>
      <c r="W124" s="321"/>
      <c r="Y124" s="315"/>
      <c r="AM124" s="278"/>
    </row>
    <row r="125" spans="6:39" s="20" customFormat="1" ht="12.75">
      <c r="F125" s="315"/>
      <c r="G125" s="315"/>
      <c r="L125" s="315"/>
      <c r="M125" s="315"/>
      <c r="O125" s="33"/>
      <c r="P125" s="315"/>
      <c r="Q125" s="343"/>
      <c r="U125" s="345"/>
      <c r="V125" s="315"/>
      <c r="W125" s="321"/>
      <c r="Y125" s="315"/>
      <c r="AM125" s="278"/>
    </row>
    <row r="126" spans="6:39" s="20" customFormat="1" ht="12.75">
      <c r="F126" s="315"/>
      <c r="G126" s="315"/>
      <c r="L126" s="315"/>
      <c r="M126" s="315"/>
      <c r="O126" s="33"/>
      <c r="P126" s="315"/>
      <c r="Q126" s="343"/>
      <c r="U126" s="345"/>
      <c r="V126" s="315"/>
      <c r="W126" s="321"/>
      <c r="Y126" s="315"/>
      <c r="AM126" s="278"/>
    </row>
    <row r="127" spans="6:39" s="20" customFormat="1" ht="12.75">
      <c r="F127" s="315"/>
      <c r="G127" s="315"/>
      <c r="L127" s="315"/>
      <c r="M127" s="315"/>
      <c r="O127" s="33"/>
      <c r="P127" s="315"/>
      <c r="Q127" s="343"/>
      <c r="U127" s="345"/>
      <c r="V127" s="315"/>
      <c r="W127" s="321"/>
      <c r="Y127" s="315"/>
      <c r="AM127" s="278"/>
    </row>
    <row r="128" spans="6:39" s="20" customFormat="1" ht="12.75">
      <c r="F128" s="315"/>
      <c r="G128" s="315"/>
      <c r="L128" s="315"/>
      <c r="M128" s="315"/>
      <c r="O128" s="33"/>
      <c r="P128" s="315"/>
      <c r="Q128" s="343"/>
      <c r="U128" s="345"/>
      <c r="V128" s="315"/>
      <c r="W128" s="321"/>
      <c r="Y128" s="315"/>
      <c r="AM128" s="278"/>
    </row>
    <row r="129" spans="6:39" s="20" customFormat="1" ht="12.75">
      <c r="F129" s="315"/>
      <c r="G129" s="315"/>
      <c r="L129" s="315"/>
      <c r="M129" s="315"/>
      <c r="O129" s="33"/>
      <c r="P129" s="315"/>
      <c r="Q129" s="343"/>
      <c r="U129" s="345"/>
      <c r="V129" s="315"/>
      <c r="W129" s="321"/>
      <c r="Y129" s="315"/>
      <c r="AM129" s="278"/>
    </row>
    <row r="130" spans="6:39" s="20" customFormat="1" ht="12.75">
      <c r="F130" s="315"/>
      <c r="G130" s="315"/>
      <c r="L130" s="315"/>
      <c r="M130" s="315"/>
      <c r="O130" s="33"/>
      <c r="P130" s="315"/>
      <c r="Q130" s="343"/>
      <c r="U130" s="345"/>
      <c r="V130" s="315"/>
      <c r="W130" s="321"/>
      <c r="Y130" s="315"/>
      <c r="AM130" s="278"/>
    </row>
    <row r="131" spans="6:39" s="20" customFormat="1" ht="12.75">
      <c r="F131" s="315"/>
      <c r="G131" s="315"/>
      <c r="L131" s="315"/>
      <c r="M131" s="315"/>
      <c r="O131" s="33"/>
      <c r="P131" s="315"/>
      <c r="Q131" s="343"/>
      <c r="U131" s="345"/>
      <c r="V131" s="315"/>
      <c r="W131" s="321"/>
      <c r="Y131" s="315"/>
      <c r="AM131" s="278"/>
    </row>
    <row r="132" spans="6:39" s="20" customFormat="1" ht="12.75">
      <c r="F132" s="315"/>
      <c r="G132" s="315"/>
      <c r="L132" s="315"/>
      <c r="M132" s="315"/>
      <c r="O132" s="33"/>
      <c r="P132" s="315"/>
      <c r="Q132" s="343"/>
      <c r="U132" s="345"/>
      <c r="V132" s="315"/>
      <c r="W132" s="321"/>
      <c r="Y132" s="315"/>
      <c r="AM132" s="278"/>
    </row>
    <row r="133" spans="6:39" s="20" customFormat="1" ht="12.75">
      <c r="F133" s="315"/>
      <c r="G133" s="315"/>
      <c r="L133" s="315"/>
      <c r="M133" s="315"/>
      <c r="O133" s="33"/>
      <c r="P133" s="315"/>
      <c r="Q133" s="343"/>
      <c r="U133" s="345"/>
      <c r="V133" s="315"/>
      <c r="W133" s="321"/>
      <c r="Y133" s="315"/>
      <c r="AM133" s="278"/>
    </row>
    <row r="134" spans="6:39" s="20" customFormat="1" ht="12.75">
      <c r="F134" s="315"/>
      <c r="G134" s="315"/>
      <c r="L134" s="315"/>
      <c r="M134" s="315"/>
      <c r="O134" s="33"/>
      <c r="P134" s="315"/>
      <c r="Q134" s="343"/>
      <c r="U134" s="345"/>
      <c r="V134" s="315"/>
      <c r="W134" s="321"/>
      <c r="Y134" s="315"/>
      <c r="AM134" s="278"/>
    </row>
    <row r="135" spans="6:39" s="20" customFormat="1" ht="12.75">
      <c r="F135" s="315"/>
      <c r="G135" s="315"/>
      <c r="L135" s="315"/>
      <c r="M135" s="315"/>
      <c r="O135" s="33"/>
      <c r="P135" s="315"/>
      <c r="Q135" s="343"/>
      <c r="U135" s="345"/>
      <c r="V135" s="315"/>
      <c r="W135" s="321"/>
      <c r="Y135" s="315"/>
      <c r="AM135" s="278"/>
    </row>
    <row r="136" spans="6:39" s="20" customFormat="1" ht="12.75">
      <c r="F136" s="315"/>
      <c r="G136" s="315"/>
      <c r="L136" s="315"/>
      <c r="M136" s="315"/>
      <c r="O136" s="33"/>
      <c r="P136" s="315"/>
      <c r="Q136" s="343"/>
      <c r="U136" s="345"/>
      <c r="V136" s="315"/>
      <c r="W136" s="321"/>
      <c r="Y136" s="315"/>
      <c r="AM136" s="278"/>
    </row>
    <row r="137" spans="6:39" s="20" customFormat="1" ht="12.75">
      <c r="F137" s="315"/>
      <c r="G137" s="315"/>
      <c r="L137" s="315"/>
      <c r="M137" s="315"/>
      <c r="O137" s="33"/>
      <c r="P137" s="315"/>
      <c r="Q137" s="343"/>
      <c r="U137" s="345"/>
      <c r="V137" s="315"/>
      <c r="W137" s="321"/>
      <c r="Y137" s="315"/>
      <c r="AM137" s="278"/>
    </row>
    <row r="138" spans="6:39" s="20" customFormat="1" ht="12.75">
      <c r="F138" s="315"/>
      <c r="G138" s="315"/>
      <c r="L138" s="315"/>
      <c r="M138" s="315"/>
      <c r="O138" s="33"/>
      <c r="P138" s="315"/>
      <c r="Q138" s="343"/>
      <c r="U138" s="345"/>
      <c r="V138" s="315"/>
      <c r="W138" s="321"/>
      <c r="Y138" s="315"/>
      <c r="AM138" s="278"/>
    </row>
    <row r="139" spans="6:39" s="20" customFormat="1" ht="12.75">
      <c r="F139" s="315"/>
      <c r="G139" s="315"/>
      <c r="L139" s="315"/>
      <c r="M139" s="315"/>
      <c r="O139" s="33"/>
      <c r="P139" s="315"/>
      <c r="Q139" s="343"/>
      <c r="U139" s="345"/>
      <c r="V139" s="315"/>
      <c r="W139" s="321"/>
      <c r="Y139" s="315"/>
      <c r="AM139" s="278"/>
    </row>
    <row r="140" spans="6:39" s="20" customFormat="1" ht="12.75">
      <c r="F140" s="315"/>
      <c r="G140" s="315"/>
      <c r="L140" s="315"/>
      <c r="M140" s="315"/>
      <c r="O140" s="33"/>
      <c r="P140" s="315"/>
      <c r="Q140" s="343"/>
      <c r="U140" s="345"/>
      <c r="V140" s="315"/>
      <c r="W140" s="321"/>
      <c r="Y140" s="315"/>
      <c r="AM140" s="278"/>
    </row>
    <row r="141" spans="6:39" s="20" customFormat="1" ht="12.75">
      <c r="F141" s="315"/>
      <c r="G141" s="315"/>
      <c r="L141" s="315"/>
      <c r="M141" s="315"/>
      <c r="O141" s="33"/>
      <c r="P141" s="315"/>
      <c r="Q141" s="343"/>
      <c r="U141" s="345"/>
      <c r="V141" s="315"/>
      <c r="W141" s="321"/>
      <c r="Y141" s="315"/>
      <c r="AM141" s="278"/>
    </row>
    <row r="142" spans="6:39" s="20" customFormat="1" ht="12.75">
      <c r="F142" s="315"/>
      <c r="G142" s="315"/>
      <c r="L142" s="315"/>
      <c r="M142" s="315"/>
      <c r="O142" s="33"/>
      <c r="P142" s="315"/>
      <c r="Q142" s="343"/>
      <c r="U142" s="345"/>
      <c r="V142" s="315"/>
      <c r="W142" s="321"/>
      <c r="Y142" s="315"/>
      <c r="AM142" s="278"/>
    </row>
    <row r="143" spans="6:39" s="20" customFormat="1" ht="12.75">
      <c r="F143" s="315"/>
      <c r="G143" s="315"/>
      <c r="L143" s="315"/>
      <c r="M143" s="315"/>
      <c r="O143" s="33"/>
      <c r="P143" s="315"/>
      <c r="Q143" s="343"/>
      <c r="U143" s="345"/>
      <c r="V143" s="315"/>
      <c r="W143" s="321"/>
      <c r="Y143" s="315"/>
      <c r="AM143" s="278"/>
    </row>
    <row r="144" spans="6:39" s="20" customFormat="1" ht="12.75">
      <c r="F144" s="315"/>
      <c r="G144" s="315"/>
      <c r="L144" s="315"/>
      <c r="M144" s="315"/>
      <c r="O144" s="33"/>
      <c r="P144" s="315"/>
      <c r="Q144" s="343"/>
      <c r="U144" s="345"/>
      <c r="V144" s="315"/>
      <c r="W144" s="321"/>
      <c r="Y144" s="315"/>
      <c r="AM144" s="278"/>
    </row>
    <row r="145" spans="6:39" s="20" customFormat="1" ht="12.75">
      <c r="F145" s="315"/>
      <c r="G145" s="315"/>
      <c r="L145" s="315"/>
      <c r="M145" s="315"/>
      <c r="O145" s="33"/>
      <c r="P145" s="315"/>
      <c r="Q145" s="343"/>
      <c r="U145" s="345"/>
      <c r="V145" s="315"/>
      <c r="W145" s="321"/>
      <c r="Y145" s="315"/>
      <c r="AM145" s="278"/>
    </row>
    <row r="146" spans="6:39" s="20" customFormat="1" ht="12.75">
      <c r="F146" s="315"/>
      <c r="G146" s="315"/>
      <c r="L146" s="315"/>
      <c r="M146" s="315"/>
      <c r="O146" s="33"/>
      <c r="P146" s="315"/>
      <c r="Q146" s="343"/>
      <c r="U146" s="345"/>
      <c r="V146" s="315"/>
      <c r="Y146" s="315"/>
      <c r="AM146" s="278"/>
    </row>
    <row r="147" spans="6:39" s="20" customFormat="1" ht="12.75">
      <c r="F147" s="315"/>
      <c r="G147" s="315"/>
      <c r="L147" s="315"/>
      <c r="M147" s="315"/>
      <c r="O147" s="33"/>
      <c r="P147" s="315"/>
      <c r="Q147" s="343"/>
      <c r="U147" s="345"/>
      <c r="V147" s="315"/>
      <c r="W147" s="321"/>
      <c r="Y147" s="315"/>
      <c r="AM147" s="278"/>
    </row>
    <row r="148" spans="6:39" s="20" customFormat="1" ht="12.75">
      <c r="F148" s="315"/>
      <c r="G148" s="315"/>
      <c r="L148" s="315"/>
      <c r="M148" s="315"/>
      <c r="O148" s="33"/>
      <c r="P148" s="315"/>
      <c r="Q148" s="343"/>
      <c r="U148" s="345"/>
      <c r="V148" s="315"/>
      <c r="W148" s="321"/>
      <c r="Y148" s="315"/>
      <c r="AM148" s="278"/>
    </row>
    <row r="149" spans="6:39" s="20" customFormat="1" ht="12.75">
      <c r="F149" s="315"/>
      <c r="G149" s="315"/>
      <c r="L149" s="315"/>
      <c r="M149" s="315"/>
      <c r="O149" s="33"/>
      <c r="P149" s="315"/>
      <c r="Q149" s="343"/>
      <c r="U149" s="345"/>
      <c r="V149" s="315"/>
      <c r="W149" s="321"/>
      <c r="Y149" s="315"/>
      <c r="AM149" s="278"/>
    </row>
    <row r="150" spans="6:39" s="20" customFormat="1" ht="12.75">
      <c r="F150" s="315"/>
      <c r="G150" s="315"/>
      <c r="L150" s="315"/>
      <c r="M150" s="315"/>
      <c r="O150" s="33"/>
      <c r="P150" s="315"/>
      <c r="Q150" s="343"/>
      <c r="U150" s="345"/>
      <c r="V150" s="315"/>
      <c r="W150" s="321"/>
      <c r="Y150" s="315"/>
      <c r="AM150" s="278"/>
    </row>
    <row r="151" spans="6:39" s="20" customFormat="1" ht="12.75">
      <c r="F151" s="315"/>
      <c r="G151" s="315"/>
      <c r="L151" s="315"/>
      <c r="M151" s="315"/>
      <c r="O151" s="33"/>
      <c r="P151" s="315"/>
      <c r="Q151" s="343"/>
      <c r="U151" s="345"/>
      <c r="V151" s="315"/>
      <c r="W151" s="321"/>
      <c r="Y151" s="315"/>
      <c r="AM151" s="278"/>
    </row>
    <row r="152" spans="6:39" s="20" customFormat="1" ht="12.75">
      <c r="F152" s="315"/>
      <c r="G152" s="315"/>
      <c r="L152" s="315"/>
      <c r="M152" s="315"/>
      <c r="O152" s="33"/>
      <c r="P152" s="315"/>
      <c r="Q152" s="343"/>
      <c r="U152" s="345"/>
      <c r="V152" s="315"/>
      <c r="W152" s="321"/>
      <c r="Y152" s="315"/>
      <c r="AM152" s="278"/>
    </row>
    <row r="153" spans="6:39" s="20" customFormat="1" ht="12.75">
      <c r="F153" s="315"/>
      <c r="G153" s="315"/>
      <c r="L153" s="315"/>
      <c r="M153" s="315"/>
      <c r="O153" s="33"/>
      <c r="P153" s="315"/>
      <c r="Q153" s="343"/>
      <c r="U153" s="345"/>
      <c r="V153" s="315"/>
      <c r="W153" s="321"/>
      <c r="Y153" s="315"/>
      <c r="AM153" s="278"/>
    </row>
    <row r="154" spans="6:39" s="20" customFormat="1" ht="12.75">
      <c r="F154" s="315"/>
      <c r="G154" s="315"/>
      <c r="L154" s="315"/>
      <c r="M154" s="315"/>
      <c r="O154" s="33"/>
      <c r="P154" s="315"/>
      <c r="Q154" s="343"/>
      <c r="U154" s="345"/>
      <c r="V154" s="315"/>
      <c r="W154" s="321"/>
      <c r="Y154" s="315"/>
      <c r="AM154" s="278"/>
    </row>
    <row r="155" spans="6:39" s="20" customFormat="1" ht="12.75">
      <c r="F155" s="315"/>
      <c r="G155" s="315"/>
      <c r="L155" s="315"/>
      <c r="M155" s="315"/>
      <c r="O155" s="33"/>
      <c r="P155" s="315"/>
      <c r="Q155" s="343"/>
      <c r="U155" s="345"/>
      <c r="V155" s="315"/>
      <c r="W155" s="321"/>
      <c r="Y155" s="315"/>
      <c r="AM155" s="278"/>
    </row>
    <row r="156" spans="6:39" s="20" customFormat="1" ht="12.75">
      <c r="F156" s="315"/>
      <c r="G156" s="315"/>
      <c r="L156" s="315"/>
      <c r="M156" s="315"/>
      <c r="O156" s="33"/>
      <c r="P156" s="315"/>
      <c r="Q156" s="343"/>
      <c r="U156" s="345"/>
      <c r="V156" s="315"/>
      <c r="W156" s="321"/>
      <c r="Y156" s="315"/>
      <c r="AM156" s="278"/>
    </row>
    <row r="157" spans="6:39" s="20" customFormat="1" ht="12.75">
      <c r="F157" s="315"/>
      <c r="G157" s="315"/>
      <c r="L157" s="315"/>
      <c r="M157" s="315"/>
      <c r="O157" s="33"/>
      <c r="P157" s="315"/>
      <c r="Q157" s="343"/>
      <c r="U157" s="345"/>
      <c r="V157" s="315"/>
      <c r="W157" s="321"/>
      <c r="Y157" s="315"/>
      <c r="AM157" s="278"/>
    </row>
    <row r="158" spans="6:39" s="20" customFormat="1" ht="12.75">
      <c r="F158" s="315"/>
      <c r="G158" s="315"/>
      <c r="L158" s="315"/>
      <c r="M158" s="315"/>
      <c r="O158" s="33"/>
      <c r="P158" s="315"/>
      <c r="Q158" s="343"/>
      <c r="U158" s="345"/>
      <c r="V158" s="315"/>
      <c r="W158" s="321"/>
      <c r="Y158" s="315"/>
      <c r="AM158" s="278"/>
    </row>
    <row r="159" spans="6:39" s="20" customFormat="1" ht="12.75">
      <c r="F159" s="315"/>
      <c r="G159" s="315"/>
      <c r="L159" s="315"/>
      <c r="M159" s="315"/>
      <c r="O159" s="33"/>
      <c r="P159" s="315"/>
      <c r="Q159" s="343"/>
      <c r="U159" s="345"/>
      <c r="V159" s="315"/>
      <c r="W159" s="321"/>
      <c r="Y159" s="315"/>
      <c r="AM159" s="278"/>
    </row>
    <row r="160" spans="6:39" s="20" customFormat="1" ht="12.75">
      <c r="F160" s="315"/>
      <c r="G160" s="315"/>
      <c r="L160" s="315"/>
      <c r="M160" s="315"/>
      <c r="O160" s="33"/>
      <c r="P160" s="315"/>
      <c r="Q160" s="343"/>
      <c r="U160" s="345"/>
      <c r="V160" s="315"/>
      <c r="W160" s="321"/>
      <c r="Y160" s="315"/>
      <c r="AM160" s="278"/>
    </row>
    <row r="161" spans="6:39" s="20" customFormat="1" ht="12.75">
      <c r="F161" s="315"/>
      <c r="G161" s="315"/>
      <c r="L161" s="315"/>
      <c r="M161" s="315"/>
      <c r="O161" s="33"/>
      <c r="P161" s="315"/>
      <c r="Q161" s="343"/>
      <c r="U161" s="345"/>
      <c r="V161" s="315"/>
      <c r="W161" s="321"/>
      <c r="Y161" s="315"/>
      <c r="AM161" s="278"/>
    </row>
    <row r="162" spans="6:39" s="20" customFormat="1" ht="12.75">
      <c r="F162" s="315"/>
      <c r="G162" s="315"/>
      <c r="L162" s="315"/>
      <c r="M162" s="315"/>
      <c r="O162" s="33"/>
      <c r="P162" s="315"/>
      <c r="Q162" s="343"/>
      <c r="U162" s="345"/>
      <c r="V162" s="315"/>
      <c r="W162" s="321"/>
      <c r="Y162" s="315"/>
      <c r="AM162" s="278"/>
    </row>
    <row r="163" spans="6:39" s="20" customFormat="1" ht="12.75">
      <c r="F163" s="315"/>
      <c r="G163" s="315"/>
      <c r="L163" s="315"/>
      <c r="M163" s="315"/>
      <c r="O163" s="33"/>
      <c r="P163" s="315"/>
      <c r="Q163" s="343"/>
      <c r="U163" s="345"/>
      <c r="V163" s="315"/>
      <c r="W163" s="321"/>
      <c r="Y163" s="315"/>
      <c r="AM163" s="278"/>
    </row>
    <row r="164" spans="6:39" s="20" customFormat="1" ht="12.75">
      <c r="F164" s="315"/>
      <c r="G164" s="315"/>
      <c r="L164" s="315"/>
      <c r="M164" s="315"/>
      <c r="O164" s="33"/>
      <c r="P164" s="315"/>
      <c r="Q164" s="343"/>
      <c r="U164" s="345"/>
      <c r="V164" s="315"/>
      <c r="W164" s="321"/>
      <c r="Y164" s="315"/>
      <c r="AM164" s="278"/>
    </row>
    <row r="165" spans="6:39" s="20" customFormat="1" ht="12.75">
      <c r="F165" s="315"/>
      <c r="G165" s="315"/>
      <c r="L165" s="315"/>
      <c r="M165" s="315"/>
      <c r="O165" s="33"/>
      <c r="P165" s="315"/>
      <c r="Q165" s="343"/>
      <c r="U165" s="345"/>
      <c r="V165" s="315"/>
      <c r="W165" s="321"/>
      <c r="Y165" s="315"/>
      <c r="AM165" s="278"/>
    </row>
    <row r="166" spans="6:39" s="20" customFormat="1" ht="12.75">
      <c r="F166" s="315"/>
      <c r="G166" s="315"/>
      <c r="L166" s="315"/>
      <c r="M166" s="315"/>
      <c r="O166" s="33"/>
      <c r="P166" s="315"/>
      <c r="Q166" s="343"/>
      <c r="U166" s="345"/>
      <c r="V166" s="315"/>
      <c r="W166" s="321"/>
      <c r="Y166" s="315"/>
      <c r="AM166" s="278"/>
    </row>
    <row r="167" spans="6:39" s="20" customFormat="1" ht="12.75">
      <c r="F167" s="315"/>
      <c r="G167" s="315"/>
      <c r="L167" s="315"/>
      <c r="M167" s="315"/>
      <c r="O167" s="33"/>
      <c r="P167" s="315"/>
      <c r="Q167" s="343"/>
      <c r="U167" s="345"/>
      <c r="V167" s="315"/>
      <c r="W167" s="321"/>
      <c r="Y167" s="315"/>
      <c r="AM167" s="278"/>
    </row>
    <row r="168" spans="6:39" s="20" customFormat="1" ht="12.75">
      <c r="F168" s="315"/>
      <c r="G168" s="315"/>
      <c r="L168" s="315"/>
      <c r="M168" s="315"/>
      <c r="O168" s="33"/>
      <c r="P168" s="315"/>
      <c r="Q168" s="343"/>
      <c r="U168" s="345"/>
      <c r="V168" s="315"/>
      <c r="W168" s="321"/>
      <c r="Y168" s="315"/>
      <c r="AM168" s="278"/>
    </row>
    <row r="169" spans="6:39" s="20" customFormat="1" ht="12.75">
      <c r="F169" s="315"/>
      <c r="G169" s="315"/>
      <c r="L169" s="315"/>
      <c r="M169" s="315"/>
      <c r="O169" s="33"/>
      <c r="P169" s="315"/>
      <c r="Q169" s="343"/>
      <c r="U169" s="345"/>
      <c r="V169" s="315"/>
      <c r="W169" s="321"/>
      <c r="Y169" s="315"/>
      <c r="AM169" s="278"/>
    </row>
    <row r="170" spans="6:39" s="20" customFormat="1" ht="12.75">
      <c r="F170" s="315"/>
      <c r="G170" s="315"/>
      <c r="L170" s="315"/>
      <c r="M170" s="315"/>
      <c r="O170" s="33"/>
      <c r="P170" s="315"/>
      <c r="Q170" s="343"/>
      <c r="U170" s="345"/>
      <c r="V170" s="315"/>
      <c r="W170" s="321"/>
      <c r="Y170" s="315"/>
      <c r="AM170" s="278"/>
    </row>
    <row r="171" spans="6:39" s="20" customFormat="1" ht="12.75">
      <c r="F171" s="315"/>
      <c r="G171" s="315"/>
      <c r="L171" s="315"/>
      <c r="M171" s="315"/>
      <c r="O171" s="33"/>
      <c r="P171" s="315"/>
      <c r="Q171" s="343"/>
      <c r="U171" s="345"/>
      <c r="V171" s="315"/>
      <c r="W171" s="321"/>
      <c r="Y171" s="315"/>
      <c r="AM171" s="278"/>
    </row>
    <row r="172" spans="6:39" s="20" customFormat="1" ht="12.75">
      <c r="F172" s="315"/>
      <c r="G172" s="315"/>
      <c r="L172" s="315"/>
      <c r="M172" s="315"/>
      <c r="O172" s="33"/>
      <c r="P172" s="315"/>
      <c r="Q172" s="343"/>
      <c r="U172" s="345"/>
      <c r="V172" s="315"/>
      <c r="W172" s="321"/>
      <c r="Y172" s="315"/>
      <c r="AM172" s="278"/>
    </row>
    <row r="173" spans="6:39" s="20" customFormat="1" ht="12.75">
      <c r="F173" s="315"/>
      <c r="G173" s="315"/>
      <c r="L173" s="315"/>
      <c r="M173" s="315"/>
      <c r="O173" s="33"/>
      <c r="P173" s="315"/>
      <c r="Q173" s="343"/>
      <c r="U173" s="345"/>
      <c r="V173" s="315"/>
      <c r="W173" s="321"/>
      <c r="Y173" s="315"/>
      <c r="AM173" s="278"/>
    </row>
    <row r="174" spans="6:39" s="20" customFormat="1" ht="12.75">
      <c r="F174" s="315"/>
      <c r="G174" s="315"/>
      <c r="L174" s="315"/>
      <c r="M174" s="315"/>
      <c r="O174" s="33"/>
      <c r="P174" s="315"/>
      <c r="Q174" s="343"/>
      <c r="U174" s="345"/>
      <c r="V174" s="315"/>
      <c r="W174" s="321"/>
      <c r="Y174" s="315"/>
      <c r="AM174" s="278"/>
    </row>
    <row r="175" spans="6:39" s="20" customFormat="1" ht="12.75">
      <c r="F175" s="315"/>
      <c r="G175" s="315"/>
      <c r="L175" s="315"/>
      <c r="M175" s="315"/>
      <c r="O175" s="33"/>
      <c r="P175" s="315"/>
      <c r="Q175" s="343"/>
      <c r="U175" s="345"/>
      <c r="V175" s="315"/>
      <c r="W175" s="321"/>
      <c r="Y175" s="315"/>
      <c r="AM175" s="278"/>
    </row>
    <row r="176" spans="6:39" s="20" customFormat="1" ht="12.75">
      <c r="F176" s="315"/>
      <c r="G176" s="315"/>
      <c r="L176" s="315"/>
      <c r="M176" s="315"/>
      <c r="O176" s="33"/>
      <c r="P176" s="315"/>
      <c r="Q176" s="343"/>
      <c r="U176" s="345"/>
      <c r="V176" s="315"/>
      <c r="W176" s="321"/>
      <c r="Y176" s="315"/>
      <c r="AM176" s="278"/>
    </row>
    <row r="177" spans="6:39" s="20" customFormat="1" ht="12.75">
      <c r="F177" s="315"/>
      <c r="G177" s="315"/>
      <c r="L177" s="315"/>
      <c r="M177" s="315"/>
      <c r="O177" s="33"/>
      <c r="P177" s="315"/>
      <c r="Q177" s="343"/>
      <c r="U177" s="345"/>
      <c r="V177" s="315"/>
      <c r="W177" s="321"/>
      <c r="Y177" s="315"/>
      <c r="AM177" s="278"/>
    </row>
    <row r="178" spans="6:39" s="20" customFormat="1" ht="12.75">
      <c r="F178" s="315"/>
      <c r="G178" s="315"/>
      <c r="L178" s="315"/>
      <c r="M178" s="315"/>
      <c r="O178" s="33"/>
      <c r="P178" s="315"/>
      <c r="Q178" s="343"/>
      <c r="U178" s="345"/>
      <c r="V178" s="315"/>
      <c r="W178" s="321"/>
      <c r="Y178" s="315"/>
      <c r="AM178" s="278"/>
    </row>
    <row r="179" spans="6:39" s="20" customFormat="1" ht="12.75">
      <c r="F179" s="315"/>
      <c r="G179" s="315"/>
      <c r="L179" s="315"/>
      <c r="M179" s="315"/>
      <c r="O179" s="33"/>
      <c r="P179" s="315"/>
      <c r="Q179" s="343"/>
      <c r="U179" s="345"/>
      <c r="V179" s="315"/>
      <c r="W179" s="321"/>
      <c r="Y179" s="315"/>
      <c r="AM179" s="278"/>
    </row>
    <row r="180" spans="6:39" s="20" customFormat="1" ht="12.75">
      <c r="F180" s="315"/>
      <c r="G180" s="315"/>
      <c r="L180" s="315"/>
      <c r="M180" s="315"/>
      <c r="O180" s="33"/>
      <c r="P180" s="315"/>
      <c r="Q180" s="343"/>
      <c r="U180" s="345"/>
      <c r="V180" s="315"/>
      <c r="W180" s="321"/>
      <c r="Y180" s="315"/>
      <c r="AM180" s="278"/>
    </row>
    <row r="181" spans="6:39" s="20" customFormat="1" ht="12.75">
      <c r="F181" s="315"/>
      <c r="G181" s="315"/>
      <c r="L181" s="315"/>
      <c r="M181" s="315"/>
      <c r="O181" s="33"/>
      <c r="P181" s="315"/>
      <c r="Q181" s="343"/>
      <c r="U181" s="345"/>
      <c r="V181" s="315"/>
      <c r="W181" s="321"/>
      <c r="Y181" s="315"/>
      <c r="AM181" s="278"/>
    </row>
    <row r="182" spans="6:39" s="20" customFormat="1" ht="12.75">
      <c r="F182" s="315"/>
      <c r="G182" s="315"/>
      <c r="L182" s="315"/>
      <c r="M182" s="315"/>
      <c r="O182" s="33"/>
      <c r="P182" s="315"/>
      <c r="Q182" s="343"/>
      <c r="U182" s="345"/>
      <c r="V182" s="315"/>
      <c r="W182" s="321"/>
      <c r="Y182" s="315"/>
      <c r="AM182" s="278"/>
    </row>
    <row r="183" spans="6:39" s="20" customFormat="1" ht="12.75">
      <c r="F183" s="315"/>
      <c r="G183" s="315"/>
      <c r="L183" s="315"/>
      <c r="M183" s="315"/>
      <c r="O183" s="33"/>
      <c r="P183" s="315"/>
      <c r="Q183" s="343"/>
      <c r="U183" s="345"/>
      <c r="V183" s="315"/>
      <c r="W183" s="321"/>
      <c r="Y183" s="315"/>
      <c r="AM183" s="278"/>
    </row>
    <row r="184" spans="6:39" s="20" customFormat="1" ht="12.75">
      <c r="F184" s="315"/>
      <c r="G184" s="315"/>
      <c r="L184" s="315"/>
      <c r="M184" s="315"/>
      <c r="O184" s="33"/>
      <c r="P184" s="315"/>
      <c r="Q184" s="343"/>
      <c r="U184" s="345"/>
      <c r="V184" s="315"/>
      <c r="W184" s="321"/>
      <c r="Y184" s="315"/>
      <c r="AM184" s="278"/>
    </row>
    <row r="185" spans="6:39" s="20" customFormat="1" ht="12.75">
      <c r="F185" s="315"/>
      <c r="G185" s="315"/>
      <c r="L185" s="315"/>
      <c r="M185" s="315"/>
      <c r="O185" s="33"/>
      <c r="P185" s="315"/>
      <c r="Q185" s="343"/>
      <c r="U185" s="345"/>
      <c r="V185" s="315"/>
      <c r="W185" s="321"/>
      <c r="Y185" s="315"/>
      <c r="AM185" s="278"/>
    </row>
    <row r="186" spans="6:39" s="20" customFormat="1" ht="12.75">
      <c r="F186" s="315"/>
      <c r="G186" s="315"/>
      <c r="L186" s="315"/>
      <c r="M186" s="315"/>
      <c r="O186" s="33"/>
      <c r="P186" s="315"/>
      <c r="Q186" s="343"/>
      <c r="U186" s="345"/>
      <c r="V186" s="315"/>
      <c r="W186" s="321"/>
      <c r="Y186" s="315"/>
      <c r="AM186" s="278"/>
    </row>
    <row r="187" spans="6:39" s="20" customFormat="1" ht="12.75">
      <c r="F187" s="315"/>
      <c r="G187" s="315"/>
      <c r="L187" s="315"/>
      <c r="M187" s="315"/>
      <c r="O187" s="33"/>
      <c r="P187" s="315"/>
      <c r="Q187" s="343"/>
      <c r="U187" s="345"/>
      <c r="V187" s="315"/>
      <c r="W187" s="321"/>
      <c r="Y187" s="315"/>
      <c r="AM187" s="278"/>
    </row>
    <row r="188" spans="6:39" s="20" customFormat="1" ht="12.75">
      <c r="F188" s="315"/>
      <c r="G188" s="315"/>
      <c r="L188" s="315"/>
      <c r="M188" s="315"/>
      <c r="O188" s="33"/>
      <c r="P188" s="315"/>
      <c r="Q188" s="343"/>
      <c r="U188" s="345"/>
      <c r="V188" s="315"/>
      <c r="W188" s="321"/>
      <c r="Y188" s="315"/>
      <c r="AM188" s="278"/>
    </row>
    <row r="189" spans="6:39" s="20" customFormat="1" ht="12.75">
      <c r="F189" s="315"/>
      <c r="G189" s="315"/>
      <c r="L189" s="315"/>
      <c r="M189" s="315"/>
      <c r="O189" s="33"/>
      <c r="P189" s="315"/>
      <c r="Q189" s="343"/>
      <c r="U189" s="345"/>
      <c r="V189" s="315"/>
      <c r="W189" s="321"/>
      <c r="Y189" s="315"/>
      <c r="AM189" s="278"/>
    </row>
    <row r="190" spans="6:39" s="20" customFormat="1" ht="12.75">
      <c r="F190" s="315"/>
      <c r="G190" s="315"/>
      <c r="L190" s="315"/>
      <c r="M190" s="315"/>
      <c r="O190" s="33"/>
      <c r="P190" s="315"/>
      <c r="Q190" s="343"/>
      <c r="U190" s="345"/>
      <c r="V190" s="315"/>
      <c r="W190" s="321"/>
      <c r="Y190" s="315"/>
      <c r="AM190" s="278"/>
    </row>
    <row r="191" spans="6:39" s="20" customFormat="1" ht="12.75">
      <c r="F191" s="315"/>
      <c r="G191" s="315"/>
      <c r="L191" s="315"/>
      <c r="M191" s="315"/>
      <c r="O191" s="33"/>
      <c r="P191" s="315"/>
      <c r="Q191" s="343"/>
      <c r="U191" s="345"/>
      <c r="V191" s="315"/>
      <c r="W191" s="321"/>
      <c r="Y191" s="315"/>
      <c r="AM191" s="278"/>
    </row>
    <row r="192" spans="6:39" s="20" customFormat="1" ht="12.75">
      <c r="F192" s="315"/>
      <c r="G192" s="315"/>
      <c r="L192" s="315"/>
      <c r="M192" s="315"/>
      <c r="O192" s="33"/>
      <c r="P192" s="315"/>
      <c r="Q192" s="343"/>
      <c r="U192" s="345"/>
      <c r="V192" s="315"/>
      <c r="W192" s="321"/>
      <c r="Y192" s="315"/>
      <c r="AM192" s="278"/>
    </row>
    <row r="193" spans="6:39" s="20" customFormat="1" ht="12.75">
      <c r="F193" s="315"/>
      <c r="G193" s="315"/>
      <c r="L193" s="315"/>
      <c r="M193" s="315"/>
      <c r="O193" s="33"/>
      <c r="P193" s="315"/>
      <c r="Q193" s="343"/>
      <c r="U193" s="345"/>
      <c r="V193" s="315"/>
      <c r="W193" s="321"/>
      <c r="Y193" s="315"/>
      <c r="AM193" s="278"/>
    </row>
    <row r="194" spans="6:39" s="20" customFormat="1" ht="12.75">
      <c r="F194" s="315"/>
      <c r="G194" s="315"/>
      <c r="L194" s="315"/>
      <c r="M194" s="315"/>
      <c r="O194" s="33"/>
      <c r="P194" s="315"/>
      <c r="Q194" s="343"/>
      <c r="U194" s="345"/>
      <c r="V194" s="315"/>
      <c r="W194" s="321"/>
      <c r="Y194" s="315"/>
      <c r="AM194" s="278"/>
    </row>
    <row r="195" spans="6:39" s="20" customFormat="1" ht="12.75">
      <c r="F195" s="315"/>
      <c r="G195" s="315"/>
      <c r="L195" s="315"/>
      <c r="M195" s="315"/>
      <c r="O195" s="33"/>
      <c r="P195" s="315"/>
      <c r="Q195" s="343"/>
      <c r="U195" s="345"/>
      <c r="V195" s="315"/>
      <c r="W195" s="321"/>
      <c r="Y195" s="315"/>
      <c r="AM195" s="278"/>
    </row>
    <row r="196" spans="6:39" s="20" customFormat="1" ht="12.75">
      <c r="F196" s="315"/>
      <c r="G196" s="315"/>
      <c r="L196" s="315"/>
      <c r="M196" s="315"/>
      <c r="O196" s="33"/>
      <c r="P196" s="315"/>
      <c r="Q196" s="343"/>
      <c r="U196" s="345"/>
      <c r="V196" s="315"/>
      <c r="W196" s="321"/>
      <c r="Y196" s="315"/>
      <c r="AM196" s="278"/>
    </row>
    <row r="197" spans="6:39" s="20" customFormat="1" ht="12.75">
      <c r="F197" s="315"/>
      <c r="G197" s="315"/>
      <c r="L197" s="315"/>
      <c r="M197" s="315"/>
      <c r="O197" s="33"/>
      <c r="P197" s="315"/>
      <c r="Q197" s="343"/>
      <c r="U197" s="345"/>
      <c r="V197" s="315"/>
      <c r="W197" s="321"/>
      <c r="Y197" s="315"/>
      <c r="AM197" s="278"/>
    </row>
    <row r="198" spans="6:39" s="20" customFormat="1" ht="12.75">
      <c r="F198" s="315"/>
      <c r="G198" s="315"/>
      <c r="L198" s="315"/>
      <c r="M198" s="315"/>
      <c r="O198" s="33"/>
      <c r="P198" s="315"/>
      <c r="Q198" s="343"/>
      <c r="U198" s="345"/>
      <c r="V198" s="315"/>
      <c r="W198" s="321"/>
      <c r="Y198" s="315"/>
      <c r="AM198" s="278"/>
    </row>
    <row r="199" spans="6:39" s="20" customFormat="1" ht="12.75">
      <c r="F199" s="315"/>
      <c r="G199" s="315"/>
      <c r="L199" s="315"/>
      <c r="M199" s="315"/>
      <c r="O199" s="33"/>
      <c r="P199" s="315"/>
      <c r="Q199" s="343"/>
      <c r="U199" s="345"/>
      <c r="V199" s="315"/>
      <c r="W199" s="321"/>
      <c r="Y199" s="315"/>
      <c r="AM199" s="278"/>
    </row>
    <row r="200" spans="6:39" s="20" customFormat="1" ht="12.75">
      <c r="F200" s="315"/>
      <c r="G200" s="315"/>
      <c r="L200" s="315"/>
      <c r="M200" s="315"/>
      <c r="O200" s="33"/>
      <c r="P200" s="315"/>
      <c r="Q200" s="343"/>
      <c r="U200" s="345"/>
      <c r="V200" s="315"/>
      <c r="W200" s="321"/>
      <c r="Y200" s="315"/>
      <c r="AM200" s="278"/>
    </row>
    <row r="201" spans="6:39" s="20" customFormat="1" ht="12.75">
      <c r="F201" s="315"/>
      <c r="G201" s="315"/>
      <c r="L201" s="315"/>
      <c r="M201" s="315"/>
      <c r="O201" s="33"/>
      <c r="P201" s="315"/>
      <c r="Q201" s="343"/>
      <c r="U201" s="345"/>
      <c r="V201" s="315"/>
      <c r="W201" s="321"/>
      <c r="Y201" s="315"/>
      <c r="AM201" s="278"/>
    </row>
    <row r="202" spans="6:39" s="20" customFormat="1" ht="12.75">
      <c r="F202" s="315"/>
      <c r="G202" s="315"/>
      <c r="L202" s="315"/>
      <c r="M202" s="315"/>
      <c r="O202" s="33"/>
      <c r="P202" s="315"/>
      <c r="Q202" s="343"/>
      <c r="U202" s="345"/>
      <c r="V202" s="315"/>
      <c r="W202" s="321"/>
      <c r="Y202" s="315"/>
      <c r="AM202" s="278"/>
    </row>
    <row r="203" spans="6:39" s="20" customFormat="1" ht="12.75">
      <c r="F203" s="315"/>
      <c r="G203" s="315"/>
      <c r="L203" s="315"/>
      <c r="M203" s="315"/>
      <c r="O203" s="33"/>
      <c r="P203" s="315"/>
      <c r="Q203" s="343"/>
      <c r="U203" s="345"/>
      <c r="V203" s="315"/>
      <c r="W203" s="321"/>
      <c r="Y203" s="315"/>
      <c r="AM203" s="278"/>
    </row>
    <row r="204" spans="6:39" s="20" customFormat="1" ht="12.75">
      <c r="F204" s="315"/>
      <c r="G204" s="315"/>
      <c r="L204" s="315"/>
      <c r="M204" s="315"/>
      <c r="O204" s="33"/>
      <c r="P204" s="315"/>
      <c r="Q204" s="343"/>
      <c r="U204" s="345"/>
      <c r="V204" s="315"/>
      <c r="W204" s="321"/>
      <c r="Y204" s="315"/>
      <c r="AM204" s="278"/>
    </row>
    <row r="205" spans="6:39" s="20" customFormat="1" ht="12.75">
      <c r="F205" s="315"/>
      <c r="G205" s="315"/>
      <c r="L205" s="315"/>
      <c r="M205" s="315"/>
      <c r="O205" s="33"/>
      <c r="P205" s="315"/>
      <c r="Q205" s="343"/>
      <c r="U205" s="345"/>
      <c r="V205" s="315"/>
      <c r="W205" s="321"/>
      <c r="Y205" s="315"/>
      <c r="AM205" s="278"/>
    </row>
    <row r="206" spans="6:39" s="20" customFormat="1" ht="12.75">
      <c r="F206" s="315"/>
      <c r="G206" s="315"/>
      <c r="L206" s="315"/>
      <c r="M206" s="315"/>
      <c r="O206" s="33"/>
      <c r="P206" s="315"/>
      <c r="Q206" s="343"/>
      <c r="U206" s="345"/>
      <c r="V206" s="315"/>
      <c r="W206" s="321"/>
      <c r="Y206" s="315"/>
      <c r="AM206" s="278"/>
    </row>
    <row r="207" spans="6:39" s="20" customFormat="1" ht="12.75">
      <c r="F207" s="315"/>
      <c r="G207" s="315"/>
      <c r="L207" s="315"/>
      <c r="M207" s="315"/>
      <c r="O207" s="33"/>
      <c r="P207" s="315"/>
      <c r="Q207" s="343"/>
      <c r="U207" s="345"/>
      <c r="V207" s="315"/>
      <c r="W207" s="321"/>
      <c r="Y207" s="315"/>
      <c r="AM207" s="278"/>
    </row>
    <row r="208" spans="6:39" s="20" customFormat="1" ht="12.75">
      <c r="F208" s="315"/>
      <c r="G208" s="315"/>
      <c r="L208" s="315"/>
      <c r="M208" s="315"/>
      <c r="O208" s="33"/>
      <c r="P208" s="315"/>
      <c r="Q208" s="343"/>
      <c r="U208" s="345"/>
      <c r="V208" s="315"/>
      <c r="W208" s="321"/>
      <c r="Y208" s="315"/>
      <c r="AM208" s="278"/>
    </row>
    <row r="209" spans="6:39" s="20" customFormat="1" ht="12.75">
      <c r="F209" s="315"/>
      <c r="G209" s="315"/>
      <c r="L209" s="315"/>
      <c r="M209" s="315"/>
      <c r="O209" s="33"/>
      <c r="P209" s="315"/>
      <c r="Q209" s="343"/>
      <c r="U209" s="345"/>
      <c r="V209" s="315"/>
      <c r="W209" s="321"/>
      <c r="Y209" s="315"/>
      <c r="AM209" s="278"/>
    </row>
    <row r="210" spans="6:39" s="20" customFormat="1" ht="12.75">
      <c r="F210" s="315"/>
      <c r="G210" s="315"/>
      <c r="L210" s="315"/>
      <c r="M210" s="315"/>
      <c r="O210" s="33"/>
      <c r="P210" s="315"/>
      <c r="Q210" s="343"/>
      <c r="U210" s="345"/>
      <c r="V210" s="315"/>
      <c r="W210" s="321"/>
      <c r="Y210" s="315"/>
      <c r="AM210" s="278"/>
    </row>
    <row r="211" spans="6:39" s="20" customFormat="1" ht="12.75">
      <c r="F211" s="315"/>
      <c r="G211" s="315"/>
      <c r="L211" s="315"/>
      <c r="M211" s="315"/>
      <c r="O211" s="33"/>
      <c r="P211" s="315"/>
      <c r="Q211" s="343"/>
      <c r="U211" s="345"/>
      <c r="V211" s="315"/>
      <c r="W211" s="321"/>
      <c r="Y211" s="315"/>
      <c r="AM211" s="278"/>
    </row>
    <row r="212" spans="6:39" s="20" customFormat="1" ht="12.75">
      <c r="F212" s="315"/>
      <c r="G212" s="315"/>
      <c r="L212" s="315"/>
      <c r="M212" s="315"/>
      <c r="O212" s="33"/>
      <c r="P212" s="315"/>
      <c r="Q212" s="343"/>
      <c r="U212" s="345"/>
      <c r="V212" s="315"/>
      <c r="W212" s="321"/>
      <c r="Y212" s="315"/>
      <c r="AM212" s="278"/>
    </row>
    <row r="213" spans="6:39" s="20" customFormat="1" ht="12.75">
      <c r="F213" s="315"/>
      <c r="G213" s="315"/>
      <c r="L213" s="315"/>
      <c r="M213" s="315"/>
      <c r="O213" s="33"/>
      <c r="P213" s="315"/>
      <c r="Q213" s="343"/>
      <c r="U213" s="345"/>
      <c r="V213" s="315"/>
      <c r="W213" s="321"/>
      <c r="Y213" s="315"/>
      <c r="AM213" s="278"/>
    </row>
    <row r="214" spans="6:39" s="20" customFormat="1" ht="12.75">
      <c r="F214" s="315"/>
      <c r="G214" s="315"/>
      <c r="L214" s="315"/>
      <c r="M214" s="315"/>
      <c r="O214" s="33"/>
      <c r="P214" s="315"/>
      <c r="Q214" s="343"/>
      <c r="U214" s="345"/>
      <c r="V214" s="315"/>
      <c r="W214" s="321"/>
      <c r="Y214" s="315"/>
      <c r="AM214" s="278"/>
    </row>
    <row r="215" spans="6:39" s="20" customFormat="1" ht="12.75">
      <c r="F215" s="315"/>
      <c r="G215" s="315"/>
      <c r="L215" s="315"/>
      <c r="M215" s="315"/>
      <c r="O215" s="33"/>
      <c r="P215" s="315"/>
      <c r="Q215" s="343"/>
      <c r="U215" s="345"/>
      <c r="V215" s="315"/>
      <c r="W215" s="321"/>
      <c r="Y215" s="315"/>
      <c r="AM215" s="278"/>
    </row>
    <row r="216" spans="6:39" s="20" customFormat="1" ht="12.75">
      <c r="F216" s="315"/>
      <c r="G216" s="315"/>
      <c r="L216" s="315"/>
      <c r="M216" s="315"/>
      <c r="O216" s="33"/>
      <c r="P216" s="315"/>
      <c r="Q216" s="343"/>
      <c r="U216" s="345"/>
      <c r="V216" s="315"/>
      <c r="W216" s="321"/>
      <c r="Y216" s="315"/>
      <c r="AM216" s="278"/>
    </row>
    <row r="217" spans="6:39" s="20" customFormat="1" ht="12.75">
      <c r="F217" s="315"/>
      <c r="G217" s="315"/>
      <c r="L217" s="315"/>
      <c r="M217" s="315"/>
      <c r="O217" s="33"/>
      <c r="P217" s="315"/>
      <c r="Q217" s="343"/>
      <c r="U217" s="345"/>
      <c r="V217" s="315"/>
      <c r="W217" s="321"/>
      <c r="Y217" s="315"/>
      <c r="AM217" s="278"/>
    </row>
    <row r="218" spans="6:39" s="20" customFormat="1" ht="12.75">
      <c r="F218" s="315"/>
      <c r="G218" s="315"/>
      <c r="L218" s="315"/>
      <c r="M218" s="315"/>
      <c r="O218" s="33"/>
      <c r="P218" s="315"/>
      <c r="Q218" s="343"/>
      <c r="U218" s="345"/>
      <c r="V218" s="315"/>
      <c r="W218" s="321"/>
      <c r="Y218" s="315"/>
      <c r="AM218" s="278"/>
    </row>
    <row r="219" spans="6:39" s="20" customFormat="1" ht="12.75">
      <c r="F219" s="315"/>
      <c r="G219" s="315"/>
      <c r="L219" s="315"/>
      <c r="M219" s="315"/>
      <c r="O219" s="33"/>
      <c r="P219" s="315"/>
      <c r="Q219" s="343"/>
      <c r="U219" s="345"/>
      <c r="V219" s="315"/>
      <c r="W219" s="321"/>
      <c r="Y219" s="315"/>
      <c r="AM219" s="278"/>
    </row>
    <row r="220" spans="6:39" s="20" customFormat="1" ht="12.75">
      <c r="F220" s="315"/>
      <c r="G220" s="315"/>
      <c r="L220" s="315"/>
      <c r="M220" s="315"/>
      <c r="O220" s="33"/>
      <c r="P220" s="315"/>
      <c r="Q220" s="343"/>
      <c r="U220" s="345"/>
      <c r="V220" s="315"/>
      <c r="W220" s="321"/>
      <c r="Y220" s="315"/>
      <c r="AM220" s="278"/>
    </row>
    <row r="221" spans="6:39" s="20" customFormat="1" ht="12.75">
      <c r="F221" s="315"/>
      <c r="G221" s="315"/>
      <c r="L221" s="315"/>
      <c r="M221" s="315"/>
      <c r="O221" s="33"/>
      <c r="P221" s="315"/>
      <c r="Q221" s="343"/>
      <c r="U221" s="345"/>
      <c r="V221" s="315"/>
      <c r="W221" s="321"/>
      <c r="Y221" s="315"/>
      <c r="AM221" s="278"/>
    </row>
    <row r="222" spans="6:39" s="20" customFormat="1" ht="12.75">
      <c r="F222" s="315"/>
      <c r="G222" s="315"/>
      <c r="L222" s="315"/>
      <c r="M222" s="315"/>
      <c r="O222" s="33"/>
      <c r="P222" s="315"/>
      <c r="Q222" s="343"/>
      <c r="U222" s="345"/>
      <c r="V222" s="315"/>
      <c r="W222" s="321"/>
      <c r="Y222" s="315"/>
      <c r="AM222" s="278"/>
    </row>
    <row r="223" spans="6:39" s="20" customFormat="1" ht="12.75">
      <c r="F223" s="315"/>
      <c r="G223" s="315"/>
      <c r="L223" s="315"/>
      <c r="M223" s="315"/>
      <c r="O223" s="33"/>
      <c r="P223" s="315"/>
      <c r="Q223" s="343"/>
      <c r="U223" s="345"/>
      <c r="V223" s="315"/>
      <c r="W223" s="321"/>
      <c r="Y223" s="315"/>
      <c r="AM223" s="278"/>
    </row>
    <row r="224" spans="6:39" s="20" customFormat="1" ht="12.75">
      <c r="F224" s="315"/>
      <c r="G224" s="315"/>
      <c r="L224" s="315"/>
      <c r="M224" s="315"/>
      <c r="O224" s="33"/>
      <c r="P224" s="315"/>
      <c r="Q224" s="343"/>
      <c r="U224" s="345"/>
      <c r="V224" s="315"/>
      <c r="W224" s="321"/>
      <c r="Y224" s="315"/>
      <c r="AM224" s="278"/>
    </row>
    <row r="225" spans="6:39" s="20" customFormat="1" ht="12.75">
      <c r="F225" s="315"/>
      <c r="G225" s="315"/>
      <c r="L225" s="315"/>
      <c r="M225" s="315"/>
      <c r="O225" s="33"/>
      <c r="P225" s="315"/>
      <c r="Q225" s="343"/>
      <c r="U225" s="345"/>
      <c r="V225" s="315"/>
      <c r="W225" s="321"/>
      <c r="Y225" s="315"/>
      <c r="AM225" s="278"/>
    </row>
    <row r="226" spans="6:39" s="20" customFormat="1" ht="12.75">
      <c r="F226" s="315"/>
      <c r="G226" s="315"/>
      <c r="L226" s="315"/>
      <c r="M226" s="315"/>
      <c r="O226" s="33"/>
      <c r="P226" s="315"/>
      <c r="Q226" s="343"/>
      <c r="U226" s="345"/>
      <c r="V226" s="315"/>
      <c r="W226" s="321"/>
      <c r="Y226" s="315"/>
      <c r="AM226" s="278"/>
    </row>
    <row r="227" spans="6:39" s="20" customFormat="1" ht="12.75">
      <c r="F227" s="315"/>
      <c r="G227" s="315"/>
      <c r="L227" s="315"/>
      <c r="M227" s="315"/>
      <c r="O227" s="33"/>
      <c r="P227" s="315"/>
      <c r="Q227" s="343"/>
      <c r="U227" s="345"/>
      <c r="V227" s="315"/>
      <c r="W227" s="321"/>
      <c r="Y227" s="315"/>
      <c r="AM227" s="278"/>
    </row>
    <row r="228" spans="6:39" s="20" customFormat="1" ht="12.75">
      <c r="F228" s="315"/>
      <c r="G228" s="315"/>
      <c r="L228" s="315"/>
      <c r="M228" s="315"/>
      <c r="O228" s="33"/>
      <c r="P228" s="315"/>
      <c r="Q228" s="343"/>
      <c r="U228" s="345"/>
      <c r="V228" s="315"/>
      <c r="W228" s="321"/>
      <c r="Y228" s="315"/>
      <c r="AM228" s="278"/>
    </row>
    <row r="229" spans="6:39" s="20" customFormat="1" ht="12.75">
      <c r="F229" s="315"/>
      <c r="G229" s="315"/>
      <c r="L229" s="315"/>
      <c r="M229" s="315"/>
      <c r="O229" s="33"/>
      <c r="P229" s="315"/>
      <c r="Q229" s="343"/>
      <c r="U229" s="345"/>
      <c r="V229" s="315"/>
      <c r="W229" s="321"/>
      <c r="Y229" s="315"/>
      <c r="AM229" s="278"/>
    </row>
    <row r="230" spans="6:39" s="20" customFormat="1" ht="12.75">
      <c r="F230" s="315"/>
      <c r="G230" s="315"/>
      <c r="L230" s="315"/>
      <c r="M230" s="315"/>
      <c r="O230" s="33"/>
      <c r="P230" s="315"/>
      <c r="Q230" s="343"/>
      <c r="U230" s="345"/>
      <c r="V230" s="315"/>
      <c r="W230" s="321"/>
      <c r="Y230" s="315"/>
      <c r="AM230" s="278"/>
    </row>
    <row r="231" spans="6:39" s="20" customFormat="1" ht="12.75">
      <c r="F231" s="315"/>
      <c r="G231" s="315"/>
      <c r="L231" s="315"/>
      <c r="M231" s="315"/>
      <c r="O231" s="33"/>
      <c r="P231" s="315"/>
      <c r="Q231" s="343"/>
      <c r="U231" s="345"/>
      <c r="V231" s="315"/>
      <c r="W231" s="321"/>
      <c r="Y231" s="315"/>
      <c r="AM231" s="278"/>
    </row>
    <row r="232" spans="6:39" s="20" customFormat="1" ht="12.75">
      <c r="F232" s="315"/>
      <c r="G232" s="315"/>
      <c r="L232" s="315"/>
      <c r="M232" s="315"/>
      <c r="O232" s="33"/>
      <c r="P232" s="315"/>
      <c r="Q232" s="343"/>
      <c r="U232" s="345"/>
      <c r="V232" s="315"/>
      <c r="W232" s="321"/>
      <c r="Y232" s="315"/>
      <c r="AM232" s="278"/>
    </row>
    <row r="233" spans="6:39" s="20" customFormat="1" ht="12.75">
      <c r="F233" s="315"/>
      <c r="G233" s="315"/>
      <c r="L233" s="315"/>
      <c r="M233" s="315"/>
      <c r="O233" s="33"/>
      <c r="P233" s="315"/>
      <c r="Q233" s="343"/>
      <c r="U233" s="345"/>
      <c r="V233" s="315"/>
      <c r="W233" s="321"/>
      <c r="Y233" s="315"/>
      <c r="AM233" s="278"/>
    </row>
    <row r="234" spans="6:39" s="20" customFormat="1" ht="12.75">
      <c r="F234" s="315"/>
      <c r="G234" s="315"/>
      <c r="L234" s="315"/>
      <c r="M234" s="315"/>
      <c r="O234" s="33"/>
      <c r="P234" s="315"/>
      <c r="Q234" s="343"/>
      <c r="U234" s="345"/>
      <c r="V234" s="315"/>
      <c r="W234" s="321"/>
      <c r="Y234" s="315"/>
      <c r="AM234" s="278"/>
    </row>
    <row r="235" spans="6:39" s="20" customFormat="1" ht="12.75">
      <c r="F235" s="315"/>
      <c r="G235" s="315"/>
      <c r="L235" s="315"/>
      <c r="M235" s="315"/>
      <c r="O235" s="33"/>
      <c r="P235" s="315"/>
      <c r="Q235" s="343"/>
      <c r="U235" s="345"/>
      <c r="V235" s="315"/>
      <c r="W235" s="321"/>
      <c r="Y235" s="315"/>
      <c r="AM235" s="278"/>
    </row>
    <row r="236" spans="6:39" s="20" customFormat="1" ht="12.75">
      <c r="F236" s="315"/>
      <c r="G236" s="315"/>
      <c r="L236" s="315"/>
      <c r="M236" s="315"/>
      <c r="O236" s="33"/>
      <c r="P236" s="315"/>
      <c r="Q236" s="343"/>
      <c r="U236" s="345"/>
      <c r="V236" s="315"/>
      <c r="W236" s="321"/>
      <c r="Y236" s="315"/>
      <c r="AM236" s="278"/>
    </row>
    <row r="237" spans="6:39" s="20" customFormat="1" ht="12.75">
      <c r="F237" s="315"/>
      <c r="G237" s="315"/>
      <c r="L237" s="315"/>
      <c r="M237" s="315"/>
      <c r="O237" s="33"/>
      <c r="P237" s="315"/>
      <c r="Q237" s="343"/>
      <c r="U237" s="345"/>
      <c r="V237" s="315"/>
      <c r="W237" s="321"/>
      <c r="Y237" s="315"/>
      <c r="AM237" s="278"/>
    </row>
    <row r="238" spans="6:39" s="20" customFormat="1" ht="12.75">
      <c r="F238" s="315"/>
      <c r="G238" s="315"/>
      <c r="L238" s="315"/>
      <c r="M238" s="315"/>
      <c r="O238" s="33"/>
      <c r="P238" s="315"/>
      <c r="Q238" s="343"/>
      <c r="U238" s="345"/>
      <c r="V238" s="315"/>
      <c r="W238" s="321"/>
      <c r="Y238" s="315"/>
      <c r="AM238" s="278"/>
    </row>
    <row r="239" spans="6:39" s="20" customFormat="1" ht="12.75">
      <c r="F239" s="315"/>
      <c r="G239" s="315"/>
      <c r="L239" s="315"/>
      <c r="M239" s="315"/>
      <c r="O239" s="33"/>
      <c r="P239" s="315"/>
      <c r="Q239" s="343"/>
      <c r="U239" s="345"/>
      <c r="V239" s="315"/>
      <c r="W239" s="321"/>
      <c r="Y239" s="315"/>
      <c r="AM239" s="278"/>
    </row>
    <row r="240" spans="6:39" s="20" customFormat="1" ht="12.75">
      <c r="F240" s="315"/>
      <c r="G240" s="315"/>
      <c r="L240" s="315"/>
      <c r="M240" s="315"/>
      <c r="O240" s="33"/>
      <c r="P240" s="315"/>
      <c r="Q240" s="343"/>
      <c r="U240" s="345"/>
      <c r="V240" s="315"/>
      <c r="W240" s="321"/>
      <c r="Y240" s="315"/>
      <c r="AM240" s="278"/>
    </row>
    <row r="241" spans="6:39" s="20" customFormat="1" ht="12.75">
      <c r="F241" s="315"/>
      <c r="G241" s="315"/>
      <c r="L241" s="315"/>
      <c r="M241" s="315"/>
      <c r="O241" s="33"/>
      <c r="P241" s="315"/>
      <c r="Q241" s="343"/>
      <c r="U241" s="345"/>
      <c r="V241" s="315"/>
      <c r="W241" s="321"/>
      <c r="Y241" s="315"/>
      <c r="AM241" s="278"/>
    </row>
    <row r="242" spans="6:39" s="20" customFormat="1" ht="12.75">
      <c r="F242" s="315"/>
      <c r="G242" s="315"/>
      <c r="L242" s="315"/>
      <c r="M242" s="315"/>
      <c r="O242" s="33"/>
      <c r="P242" s="315"/>
      <c r="Q242" s="343"/>
      <c r="U242" s="345"/>
      <c r="V242" s="315"/>
      <c r="W242" s="321"/>
      <c r="Y242" s="315"/>
      <c r="AM242" s="278"/>
    </row>
    <row r="243" spans="6:39" s="20" customFormat="1" ht="12.75">
      <c r="F243" s="315"/>
      <c r="G243" s="315"/>
      <c r="L243" s="315"/>
      <c r="M243" s="315"/>
      <c r="O243" s="33"/>
      <c r="P243" s="315"/>
      <c r="Q243" s="343"/>
      <c r="U243" s="345"/>
      <c r="V243" s="315"/>
      <c r="W243" s="321"/>
      <c r="Y243" s="315"/>
      <c r="AM243" s="278"/>
    </row>
    <row r="244" spans="6:39" s="20" customFormat="1" ht="12.75">
      <c r="F244" s="315"/>
      <c r="G244" s="315"/>
      <c r="L244" s="315"/>
      <c r="M244" s="315"/>
      <c r="O244" s="33"/>
      <c r="P244" s="315"/>
      <c r="Q244" s="343"/>
      <c r="U244" s="345"/>
      <c r="V244" s="315"/>
      <c r="W244" s="321"/>
      <c r="Y244" s="315"/>
      <c r="AM244" s="278"/>
    </row>
    <row r="245" spans="6:39" s="20" customFormat="1" ht="12.75">
      <c r="F245" s="315"/>
      <c r="G245" s="315"/>
      <c r="L245" s="315"/>
      <c r="M245" s="315"/>
      <c r="O245" s="33"/>
      <c r="P245" s="315"/>
      <c r="Q245" s="343"/>
      <c r="U245" s="345"/>
      <c r="V245" s="315"/>
      <c r="W245" s="321"/>
      <c r="Y245" s="315"/>
      <c r="AM245" s="278"/>
    </row>
    <row r="246" spans="6:39" s="20" customFormat="1" ht="12.75">
      <c r="F246" s="315"/>
      <c r="G246" s="315"/>
      <c r="L246" s="315"/>
      <c r="M246" s="315"/>
      <c r="O246" s="33"/>
      <c r="P246" s="315"/>
      <c r="Q246" s="343"/>
      <c r="U246" s="345"/>
      <c r="V246" s="315"/>
      <c r="W246" s="321"/>
      <c r="Y246" s="315"/>
      <c r="AM246" s="278"/>
    </row>
    <row r="247" spans="6:39" s="20" customFormat="1" ht="12.75">
      <c r="F247" s="315"/>
      <c r="G247" s="315"/>
      <c r="L247" s="315"/>
      <c r="M247" s="315"/>
      <c r="O247" s="33"/>
      <c r="P247" s="315"/>
      <c r="Q247" s="343"/>
      <c r="U247" s="345"/>
      <c r="V247" s="315"/>
      <c r="W247" s="321"/>
      <c r="Y247" s="315"/>
      <c r="AM247" s="278"/>
    </row>
    <row r="248" spans="6:39" s="20" customFormat="1" ht="12.75">
      <c r="F248" s="315"/>
      <c r="G248" s="315"/>
      <c r="L248" s="315"/>
      <c r="M248" s="315"/>
      <c r="O248" s="33"/>
      <c r="P248" s="315"/>
      <c r="Q248" s="343"/>
      <c r="U248" s="345"/>
      <c r="V248" s="315"/>
      <c r="W248" s="321"/>
      <c r="Y248" s="315"/>
      <c r="AM248" s="278"/>
    </row>
    <row r="249" spans="6:39" s="20" customFormat="1" ht="12.75">
      <c r="F249" s="315"/>
      <c r="G249" s="315"/>
      <c r="I249" s="147"/>
      <c r="J249" s="147"/>
      <c r="K249" s="147"/>
      <c r="L249" s="301"/>
      <c r="M249" s="301"/>
      <c r="N249" s="147"/>
      <c r="O249" s="169"/>
      <c r="P249" s="301"/>
      <c r="Q249" s="343"/>
      <c r="R249" s="147"/>
      <c r="S249" s="147"/>
      <c r="T249" s="147"/>
      <c r="U249" s="414"/>
      <c r="V249" s="301"/>
      <c r="W249" s="321"/>
      <c r="Y249" s="301"/>
      <c r="AM249" s="278"/>
    </row>
    <row r="250" spans="1:39" s="20" customFormat="1" ht="12.75">
      <c r="A250" s="147"/>
      <c r="B250" s="147"/>
      <c r="C250" s="147"/>
      <c r="D250" s="147"/>
      <c r="E250" s="147"/>
      <c r="F250" s="301"/>
      <c r="G250" s="301"/>
      <c r="I250" s="147"/>
      <c r="J250" s="147"/>
      <c r="K250" s="147"/>
      <c r="L250" s="301"/>
      <c r="M250" s="301"/>
      <c r="N250" s="147"/>
      <c r="O250" s="169"/>
      <c r="P250" s="301"/>
      <c r="Q250" s="343"/>
      <c r="R250" s="147"/>
      <c r="S250" s="147"/>
      <c r="T250" s="147"/>
      <c r="U250" s="414"/>
      <c r="V250" s="301"/>
      <c r="W250" s="321"/>
      <c r="Y250" s="301"/>
      <c r="AM250" s="278"/>
    </row>
    <row r="251" spans="1:39" s="20" customFormat="1" ht="12.75">
      <c r="A251" s="147"/>
      <c r="B251" s="147"/>
      <c r="C251" s="147"/>
      <c r="D251" s="147"/>
      <c r="E251" s="147"/>
      <c r="F251" s="301"/>
      <c r="G251" s="301"/>
      <c r="I251" s="147"/>
      <c r="J251" s="147"/>
      <c r="K251" s="147"/>
      <c r="L251" s="301"/>
      <c r="M251" s="301"/>
      <c r="N251" s="147"/>
      <c r="O251" s="169"/>
      <c r="P251" s="301"/>
      <c r="Q251" s="343"/>
      <c r="R251" s="147"/>
      <c r="S251" s="147"/>
      <c r="T251" s="147"/>
      <c r="U251" s="414"/>
      <c r="V251" s="301"/>
      <c r="W251" s="321"/>
      <c r="Y251" s="301"/>
      <c r="AM251" s="278"/>
    </row>
    <row r="252" ht="12.75">
      <c r="W252" s="321"/>
    </row>
    <row r="253" ht="12.75">
      <c r="W253" s="321"/>
    </row>
    <row r="254" ht="12.75">
      <c r="W254" s="321"/>
    </row>
    <row r="255" ht="12.75">
      <c r="W255" s="321"/>
    </row>
    <row r="256" ht="12.75">
      <c r="W256" s="321"/>
    </row>
    <row r="257" ht="12.75">
      <c r="W257" s="321"/>
    </row>
    <row r="258" ht="12.75">
      <c r="W258" s="321"/>
    </row>
    <row r="259" ht="12.75">
      <c r="W259" s="321"/>
    </row>
    <row r="260" ht="12.75">
      <c r="W260" s="321"/>
    </row>
    <row r="261" ht="12.75">
      <c r="W261" s="321"/>
    </row>
    <row r="262" ht="12.75">
      <c r="W262" s="321"/>
    </row>
    <row r="263" ht="12.75">
      <c r="W263" s="321"/>
    </row>
    <row r="264" ht="12.75">
      <c r="W264" s="321"/>
    </row>
  </sheetData>
  <mergeCells count="1">
    <mergeCell ref="F3:G3"/>
  </mergeCells>
  <printOptions gridLines="1" horizontalCentered="1"/>
  <pageMargins left="0.5" right="0.25" top="0.75" bottom="0.3" header="0.5" footer="0.3"/>
  <pageSetup firstPageNumber="14" useFirstPageNumber="1" horizontalDpi="600" verticalDpi="600" orientation="portrait" scale="56" r:id="rId1"/>
  <headerFooter alignWithMargins="0">
    <oddFooter>&amp;R&amp;"Arial Narrow,Bold"&amp;16
EUB ST101-2006: Sulphur Recovery and Sulphur Emissions at Alberta Sour Gas Plants (August 2006)    •     &amp;P</oddFooter>
  </headerFooter>
  <colBreaks count="1" manualBreakCount="1">
    <brk id="17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Z36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4.7109375" style="149" customWidth="1"/>
    <col min="2" max="2" width="11.7109375" style="179" customWidth="1"/>
    <col min="3" max="3" width="46.28125" style="179" customWidth="1"/>
    <col min="4" max="4" width="9.140625" style="147" hidden="1" customWidth="1"/>
    <col min="5" max="5" width="18.7109375" style="186" hidden="1" customWidth="1"/>
    <col min="6" max="9" width="10.7109375" style="186" hidden="1" customWidth="1"/>
    <col min="10" max="10" width="3.140625" style="186" hidden="1" customWidth="1"/>
    <col min="11" max="23" width="10.7109375" style="208" hidden="1" customWidth="1"/>
    <col min="24" max="27" width="10.7109375" style="202" customWidth="1"/>
    <col min="28" max="28" width="4.421875" style="202" customWidth="1"/>
    <col min="29" max="29" width="5.00390625" style="193" customWidth="1"/>
    <col min="30" max="30" width="10.7109375" style="193" hidden="1" customWidth="1"/>
    <col min="31" max="32" width="10.7109375" style="202" hidden="1" customWidth="1"/>
    <col min="33" max="33" width="12.00390625" style="193" hidden="1" customWidth="1"/>
    <col min="34" max="34" width="11.421875" style="193" hidden="1" customWidth="1"/>
    <col min="35" max="42" width="10.7109375" style="209" hidden="1" customWidth="1"/>
    <col min="43" max="46" width="10.7109375" style="209" customWidth="1"/>
    <col min="47" max="47" width="42.7109375" style="147" customWidth="1"/>
    <col min="48" max="16384" width="9.140625" style="147" customWidth="1"/>
  </cols>
  <sheetData>
    <row r="1" spans="1:48" ht="18.75" thickBot="1">
      <c r="A1" s="170" t="s">
        <v>303</v>
      </c>
      <c r="B1" s="171"/>
      <c r="C1" s="171"/>
      <c r="D1" s="172"/>
      <c r="E1" s="173"/>
      <c r="F1" s="173"/>
      <c r="G1" s="173"/>
      <c r="H1" s="173"/>
      <c r="I1" s="173"/>
      <c r="J1" s="173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5"/>
      <c r="Y1" s="175"/>
      <c r="Z1" s="175"/>
      <c r="AA1" s="175"/>
      <c r="AB1" s="175"/>
      <c r="AC1" s="176"/>
      <c r="AD1" s="176"/>
      <c r="AE1" s="175"/>
      <c r="AF1" s="175"/>
      <c r="AG1" s="176"/>
      <c r="AH1" s="176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8"/>
      <c r="AV1" s="178"/>
    </row>
    <row r="2" spans="5:47" ht="13.5" thickBot="1">
      <c r="E2" s="180"/>
      <c r="F2" s="180"/>
      <c r="G2" s="180"/>
      <c r="H2" s="180"/>
      <c r="I2" s="180"/>
      <c r="J2" s="180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2"/>
      <c r="Y2" s="182"/>
      <c r="Z2" s="182"/>
      <c r="AA2" s="182"/>
      <c r="AB2" s="182"/>
      <c r="AC2" s="183"/>
      <c r="AD2" s="183"/>
      <c r="AE2" s="182"/>
      <c r="AF2" s="182"/>
      <c r="AG2" s="183"/>
      <c r="AH2" s="183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5"/>
    </row>
    <row r="3" spans="11:46" ht="13.5" thickBot="1">
      <c r="K3" s="187"/>
      <c r="L3" s="188"/>
      <c r="M3" s="188"/>
      <c r="N3" s="188"/>
      <c r="O3" s="188"/>
      <c r="P3" s="189"/>
      <c r="Q3" s="189"/>
      <c r="R3" s="190" t="s">
        <v>29</v>
      </c>
      <c r="S3" s="189"/>
      <c r="T3" s="189"/>
      <c r="U3" s="189"/>
      <c r="V3" s="191" t="s">
        <v>29</v>
      </c>
      <c r="W3" s="189"/>
      <c r="X3" s="189"/>
      <c r="Y3" s="189"/>
      <c r="Z3" s="189" t="s">
        <v>29</v>
      </c>
      <c r="AA3" s="192"/>
      <c r="AB3" s="183"/>
      <c r="AD3" s="194"/>
      <c r="AE3" s="189"/>
      <c r="AF3" s="189"/>
      <c r="AG3" s="189"/>
      <c r="AH3" s="189"/>
      <c r="AI3" s="195"/>
      <c r="AJ3" s="190" t="s">
        <v>145</v>
      </c>
      <c r="AK3" s="195"/>
      <c r="AL3" s="189"/>
      <c r="AM3" s="196"/>
      <c r="AN3" s="190" t="s">
        <v>192</v>
      </c>
      <c r="AO3" s="195"/>
      <c r="AP3" s="189"/>
      <c r="AQ3" s="189"/>
      <c r="AR3" s="190" t="s">
        <v>192</v>
      </c>
      <c r="AS3" s="195"/>
      <c r="AT3" s="192"/>
    </row>
    <row r="4" spans="1:48" ht="27" thickBot="1">
      <c r="A4" s="197" t="s">
        <v>216</v>
      </c>
      <c r="B4" s="171"/>
      <c r="C4" s="171"/>
      <c r="K4" s="198" t="s">
        <v>100</v>
      </c>
      <c r="L4" s="198" t="s">
        <v>30</v>
      </c>
      <c r="M4" s="198" t="s">
        <v>31</v>
      </c>
      <c r="N4" s="198" t="s">
        <v>32</v>
      </c>
      <c r="O4" s="198" t="s">
        <v>33</v>
      </c>
      <c r="P4" s="199" t="s">
        <v>34</v>
      </c>
      <c r="Q4" s="199" t="s">
        <v>146</v>
      </c>
      <c r="R4" s="199" t="s">
        <v>147</v>
      </c>
      <c r="S4" s="199" t="s">
        <v>148</v>
      </c>
      <c r="T4" s="200" t="s">
        <v>188</v>
      </c>
      <c r="U4" s="200" t="s">
        <v>189</v>
      </c>
      <c r="V4" s="200" t="s">
        <v>190</v>
      </c>
      <c r="W4" s="200" t="s">
        <v>191</v>
      </c>
      <c r="X4" s="201" t="s">
        <v>235</v>
      </c>
      <c r="Y4" s="201" t="s">
        <v>236</v>
      </c>
      <c r="Z4" s="201" t="s">
        <v>237</v>
      </c>
      <c r="AA4" s="201" t="s">
        <v>238</v>
      </c>
      <c r="AC4" s="203"/>
      <c r="AD4" s="203" t="s">
        <v>100</v>
      </c>
      <c r="AE4" s="204" t="s">
        <v>30</v>
      </c>
      <c r="AF4" s="204" t="s">
        <v>31</v>
      </c>
      <c r="AG4" s="203" t="s">
        <v>32</v>
      </c>
      <c r="AH4" s="203" t="s">
        <v>33</v>
      </c>
      <c r="AI4" s="203" t="s">
        <v>34</v>
      </c>
      <c r="AJ4" s="203" t="s">
        <v>146</v>
      </c>
      <c r="AK4" s="203" t="s">
        <v>147</v>
      </c>
      <c r="AL4" s="203" t="s">
        <v>148</v>
      </c>
      <c r="AM4" s="201" t="s">
        <v>188</v>
      </c>
      <c r="AN4" s="201" t="s">
        <v>189</v>
      </c>
      <c r="AO4" s="201" t="s">
        <v>190</v>
      </c>
      <c r="AP4" s="201" t="s">
        <v>191</v>
      </c>
      <c r="AQ4" s="201" t="s">
        <v>235</v>
      </c>
      <c r="AR4" s="201" t="s">
        <v>236</v>
      </c>
      <c r="AS4" s="201" t="s">
        <v>237</v>
      </c>
      <c r="AT4" s="201" t="s">
        <v>238</v>
      </c>
      <c r="AU4" s="205" t="s">
        <v>6</v>
      </c>
      <c r="AV4" s="178"/>
    </row>
    <row r="5" spans="1:47" ht="15.75" thickBot="1">
      <c r="A5" s="178"/>
      <c r="B5" s="206" t="s">
        <v>88</v>
      </c>
      <c r="C5" s="207"/>
      <c r="AU5" s="179"/>
    </row>
    <row r="6" spans="1:47" ht="16.5" thickBot="1">
      <c r="A6" s="149">
        <v>1</v>
      </c>
      <c r="B6" s="115">
        <v>1108</v>
      </c>
      <c r="C6" s="210" t="s">
        <v>187</v>
      </c>
      <c r="E6" s="420" t="s">
        <v>149</v>
      </c>
      <c r="F6" s="421"/>
      <c r="G6" s="421"/>
      <c r="H6" s="421"/>
      <c r="I6" s="422"/>
      <c r="J6" s="211"/>
      <c r="K6" s="212" t="s">
        <v>150</v>
      </c>
      <c r="L6" s="212" t="s">
        <v>150</v>
      </c>
      <c r="M6" s="212" t="s">
        <v>150</v>
      </c>
      <c r="N6" s="212" t="s">
        <v>150</v>
      </c>
      <c r="O6" s="212" t="s">
        <v>150</v>
      </c>
      <c r="P6" s="213" t="s">
        <v>157</v>
      </c>
      <c r="Q6" s="213" t="s">
        <v>157</v>
      </c>
      <c r="R6" s="213" t="s">
        <v>157</v>
      </c>
      <c r="S6" s="213" t="s">
        <v>157</v>
      </c>
      <c r="T6" s="212" t="s">
        <v>157</v>
      </c>
      <c r="U6" s="212" t="s">
        <v>157</v>
      </c>
      <c r="V6" s="212" t="s">
        <v>157</v>
      </c>
      <c r="W6" s="212" t="s">
        <v>157</v>
      </c>
      <c r="X6" s="214" t="s">
        <v>157</v>
      </c>
      <c r="Y6" s="214" t="s">
        <v>157</v>
      </c>
      <c r="Z6" s="214" t="s">
        <v>157</v>
      </c>
      <c r="AA6" s="214" t="s">
        <v>157</v>
      </c>
      <c r="AB6" s="214"/>
      <c r="AC6" s="214"/>
      <c r="AD6" s="214" t="s">
        <v>157</v>
      </c>
      <c r="AE6" s="214" t="s">
        <v>157</v>
      </c>
      <c r="AF6" s="214" t="s">
        <v>157</v>
      </c>
      <c r="AG6" s="214" t="s">
        <v>157</v>
      </c>
      <c r="AH6" s="214" t="s">
        <v>157</v>
      </c>
      <c r="AI6" s="214" t="s">
        <v>157</v>
      </c>
      <c r="AJ6" s="214" t="s">
        <v>157</v>
      </c>
      <c r="AK6" s="214" t="s">
        <v>157</v>
      </c>
      <c r="AL6" s="214" t="s">
        <v>157</v>
      </c>
      <c r="AM6" s="214" t="s">
        <v>157</v>
      </c>
      <c r="AN6" s="214" t="s">
        <v>157</v>
      </c>
      <c r="AO6" s="214" t="s">
        <v>157</v>
      </c>
      <c r="AP6" s="214" t="s">
        <v>157</v>
      </c>
      <c r="AQ6" s="214" t="s">
        <v>157</v>
      </c>
      <c r="AR6" s="214" t="s">
        <v>157</v>
      </c>
      <c r="AS6" s="214" t="s">
        <v>157</v>
      </c>
      <c r="AT6" s="214" t="s">
        <v>157</v>
      </c>
      <c r="AU6" s="147" t="s">
        <v>70</v>
      </c>
    </row>
    <row r="7" spans="1:46" ht="15.75">
      <c r="A7" s="149">
        <v>2</v>
      </c>
      <c r="B7" s="115">
        <v>1121</v>
      </c>
      <c r="C7" s="210" t="s">
        <v>175</v>
      </c>
      <c r="E7" s="211">
        <v>37272</v>
      </c>
      <c r="F7" s="211">
        <v>37363</v>
      </c>
      <c r="G7" s="211">
        <v>37453</v>
      </c>
      <c r="H7" s="211">
        <v>37546</v>
      </c>
      <c r="I7" s="215">
        <v>37641</v>
      </c>
      <c r="J7" s="211"/>
      <c r="K7" s="212">
        <v>61.48</v>
      </c>
      <c r="L7" s="212">
        <v>2.99</v>
      </c>
      <c r="M7" s="212">
        <v>88.3</v>
      </c>
      <c r="N7" s="212">
        <v>64.47</v>
      </c>
      <c r="O7" s="212">
        <v>45.19</v>
      </c>
      <c r="P7" s="216">
        <v>0</v>
      </c>
      <c r="Q7" s="216">
        <v>65.48</v>
      </c>
      <c r="R7" s="216">
        <v>51.1</v>
      </c>
      <c r="S7" s="216">
        <v>6.02</v>
      </c>
      <c r="T7" s="216">
        <v>50.1</v>
      </c>
      <c r="U7" s="216">
        <v>19.44</v>
      </c>
      <c r="V7" s="216">
        <v>54.11</v>
      </c>
      <c r="W7" s="216">
        <v>14.81</v>
      </c>
      <c r="X7" s="217">
        <v>10.39</v>
      </c>
      <c r="Y7" s="217">
        <v>15.61</v>
      </c>
      <c r="Z7" s="217">
        <v>32.3</v>
      </c>
      <c r="AA7" s="217">
        <v>18.48</v>
      </c>
      <c r="AB7" s="217"/>
      <c r="AC7" s="217"/>
      <c r="AD7" s="217" t="s">
        <v>150</v>
      </c>
      <c r="AE7" s="214">
        <f>K7+L7</f>
        <v>64.47</v>
      </c>
      <c r="AF7" s="214">
        <f aca="true" t="shared" si="0" ref="AF7:AT8">AE7+M7</f>
        <v>152.76999999999998</v>
      </c>
      <c r="AG7" s="214">
        <f t="shared" si="0"/>
        <v>217.23999999999998</v>
      </c>
      <c r="AH7" s="217">
        <f t="shared" si="0"/>
        <v>262.42999999999995</v>
      </c>
      <c r="AI7" s="217">
        <f t="shared" si="0"/>
        <v>262.42999999999995</v>
      </c>
      <c r="AJ7" s="217">
        <f t="shared" si="0"/>
        <v>327.90999999999997</v>
      </c>
      <c r="AK7" s="217">
        <f t="shared" si="0"/>
        <v>379.01</v>
      </c>
      <c r="AL7" s="217">
        <f t="shared" si="0"/>
        <v>385.03</v>
      </c>
      <c r="AM7" s="217">
        <f t="shared" si="0"/>
        <v>435.13</v>
      </c>
      <c r="AN7" s="217">
        <f t="shared" si="0"/>
        <v>454.57</v>
      </c>
      <c r="AO7" s="217">
        <f t="shared" si="0"/>
        <v>508.68</v>
      </c>
      <c r="AP7" s="217">
        <f t="shared" si="0"/>
        <v>523.49</v>
      </c>
      <c r="AQ7" s="217">
        <f t="shared" si="0"/>
        <v>533.88</v>
      </c>
      <c r="AR7" s="217">
        <f t="shared" si="0"/>
        <v>549.49</v>
      </c>
      <c r="AS7" s="217">
        <f t="shared" si="0"/>
        <v>581.79</v>
      </c>
      <c r="AT7" s="217">
        <f t="shared" si="0"/>
        <v>600.27</v>
      </c>
    </row>
    <row r="8" spans="1:46" ht="15.75">
      <c r="A8" s="149">
        <v>3</v>
      </c>
      <c r="B8" s="115">
        <v>1131</v>
      </c>
      <c r="C8" s="210" t="s">
        <v>60</v>
      </c>
      <c r="E8" s="211">
        <v>37266</v>
      </c>
      <c r="F8" s="211">
        <v>37362</v>
      </c>
      <c r="G8" s="211">
        <v>37453</v>
      </c>
      <c r="H8" s="211">
        <v>37539</v>
      </c>
      <c r="I8" s="211">
        <v>37635</v>
      </c>
      <c r="J8" s="211"/>
      <c r="K8" s="212">
        <v>183.7</v>
      </c>
      <c r="L8" s="212">
        <v>189.4</v>
      </c>
      <c r="M8" s="212">
        <v>46</v>
      </c>
      <c r="N8" s="212">
        <v>55.7</v>
      </c>
      <c r="O8" s="212">
        <v>59.1</v>
      </c>
      <c r="P8" s="216">
        <v>59.2</v>
      </c>
      <c r="Q8" s="216">
        <v>58.9</v>
      </c>
      <c r="R8" s="216">
        <v>209.5</v>
      </c>
      <c r="S8" s="216">
        <v>53</v>
      </c>
      <c r="T8" s="216">
        <v>29.1</v>
      </c>
      <c r="U8" s="216">
        <v>11.56</v>
      </c>
      <c r="V8" s="216">
        <v>12.9</v>
      </c>
      <c r="W8" s="216">
        <v>31.4</v>
      </c>
      <c r="X8" s="217">
        <v>13.1</v>
      </c>
      <c r="Y8" s="217">
        <v>0</v>
      </c>
      <c r="Z8" s="217">
        <v>-12.8</v>
      </c>
      <c r="AA8" s="217">
        <v>-19.1</v>
      </c>
      <c r="AB8" s="217"/>
      <c r="AC8" s="217"/>
      <c r="AD8" s="217" t="s">
        <v>150</v>
      </c>
      <c r="AE8" s="214">
        <f>K8+L8</f>
        <v>373.1</v>
      </c>
      <c r="AF8" s="214">
        <f t="shared" si="0"/>
        <v>419.1</v>
      </c>
      <c r="AG8" s="214">
        <f t="shared" si="0"/>
        <v>474.8</v>
      </c>
      <c r="AH8" s="217">
        <f t="shared" si="0"/>
        <v>533.9</v>
      </c>
      <c r="AI8" s="217">
        <f t="shared" si="0"/>
        <v>593.1</v>
      </c>
      <c r="AJ8" s="217">
        <f t="shared" si="0"/>
        <v>652</v>
      </c>
      <c r="AK8" s="217">
        <f t="shared" si="0"/>
        <v>861.5</v>
      </c>
      <c r="AL8" s="217">
        <f t="shared" si="0"/>
        <v>914.5</v>
      </c>
      <c r="AM8" s="217">
        <f t="shared" si="0"/>
        <v>943.6</v>
      </c>
      <c r="AN8" s="217">
        <f t="shared" si="0"/>
        <v>955.16</v>
      </c>
      <c r="AO8" s="217">
        <f t="shared" si="0"/>
        <v>968.06</v>
      </c>
      <c r="AP8" s="217">
        <f t="shared" si="0"/>
        <v>999.4599999999999</v>
      </c>
      <c r="AQ8" s="217">
        <f t="shared" si="0"/>
        <v>1012.56</v>
      </c>
      <c r="AR8" s="217">
        <f t="shared" si="0"/>
        <v>1012.56</v>
      </c>
      <c r="AS8" s="217">
        <f t="shared" si="0"/>
        <v>999.76</v>
      </c>
      <c r="AT8" s="217">
        <f t="shared" si="0"/>
        <v>980.66</v>
      </c>
    </row>
    <row r="9" spans="1:47" ht="15.75">
      <c r="A9" s="149">
        <v>4</v>
      </c>
      <c r="B9" s="115">
        <v>1374</v>
      </c>
      <c r="C9" s="210" t="s">
        <v>105</v>
      </c>
      <c r="E9" s="218" t="s">
        <v>152</v>
      </c>
      <c r="F9" s="211"/>
      <c r="G9" s="211"/>
      <c r="H9" s="211" t="s">
        <v>150</v>
      </c>
      <c r="I9" s="211"/>
      <c r="J9" s="211"/>
      <c r="K9" s="212" t="s">
        <v>150</v>
      </c>
      <c r="L9" s="212" t="s">
        <v>150</v>
      </c>
      <c r="M9" s="212" t="s">
        <v>150</v>
      </c>
      <c r="N9" s="212" t="s">
        <v>150</v>
      </c>
      <c r="O9" s="212" t="s">
        <v>150</v>
      </c>
      <c r="P9" s="219" t="s">
        <v>157</v>
      </c>
      <c r="Q9" s="219" t="s">
        <v>157</v>
      </c>
      <c r="R9" s="219" t="s">
        <v>157</v>
      </c>
      <c r="S9" s="220" t="s">
        <v>157</v>
      </c>
      <c r="T9" s="221">
        <v>0</v>
      </c>
      <c r="U9" s="221">
        <v>0</v>
      </c>
      <c r="V9" s="221">
        <v>0</v>
      </c>
      <c r="W9" s="221">
        <v>0</v>
      </c>
      <c r="X9" s="222"/>
      <c r="Y9" s="222"/>
      <c r="Z9" s="222"/>
      <c r="AA9" s="222"/>
      <c r="AB9" s="223"/>
      <c r="AC9" s="223"/>
      <c r="AD9" s="224"/>
      <c r="AE9" s="225"/>
      <c r="AF9" s="225"/>
      <c r="AG9" s="224"/>
      <c r="AH9" s="224"/>
      <c r="AI9" s="226" t="s">
        <v>157</v>
      </c>
      <c r="AJ9" s="217" t="s">
        <v>157</v>
      </c>
      <c r="AK9" s="217" t="s">
        <v>157</v>
      </c>
      <c r="AL9" s="217" t="s">
        <v>157</v>
      </c>
      <c r="AM9" s="227" t="s">
        <v>157</v>
      </c>
      <c r="AN9" s="227">
        <v>0</v>
      </c>
      <c r="AO9" s="227">
        <v>0</v>
      </c>
      <c r="AP9" s="227" t="s">
        <v>157</v>
      </c>
      <c r="AQ9" s="227" t="s">
        <v>157</v>
      </c>
      <c r="AR9" s="227">
        <v>0</v>
      </c>
      <c r="AS9" s="227">
        <v>0</v>
      </c>
      <c r="AT9" s="227" t="s">
        <v>157</v>
      </c>
      <c r="AU9" s="228" t="s">
        <v>166</v>
      </c>
    </row>
    <row r="10" spans="1:47" ht="15.75">
      <c r="A10" s="149">
        <v>5</v>
      </c>
      <c r="B10" s="115">
        <v>1104</v>
      </c>
      <c r="C10" s="210" t="s">
        <v>106</v>
      </c>
      <c r="E10" s="211" t="s">
        <v>150</v>
      </c>
      <c r="F10" s="211" t="s">
        <v>150</v>
      </c>
      <c r="G10" s="211" t="s">
        <v>150</v>
      </c>
      <c r="H10" s="211" t="s">
        <v>150</v>
      </c>
      <c r="I10" s="211"/>
      <c r="J10" s="211"/>
      <c r="K10" s="212" t="s">
        <v>150</v>
      </c>
      <c r="L10" s="212" t="s">
        <v>150</v>
      </c>
      <c r="M10" s="212" t="s">
        <v>150</v>
      </c>
      <c r="N10" s="212" t="s">
        <v>150</v>
      </c>
      <c r="O10" s="212" t="s">
        <v>150</v>
      </c>
      <c r="P10" s="219" t="s">
        <v>157</v>
      </c>
      <c r="Q10" s="219" t="s">
        <v>157</v>
      </c>
      <c r="R10" s="219" t="s">
        <v>157</v>
      </c>
      <c r="S10" s="220" t="s">
        <v>157</v>
      </c>
      <c r="T10" s="221">
        <v>0</v>
      </c>
      <c r="U10" s="221">
        <v>0</v>
      </c>
      <c r="V10" s="221">
        <v>0</v>
      </c>
      <c r="W10" s="221">
        <v>0</v>
      </c>
      <c r="X10" s="222"/>
      <c r="Y10" s="222"/>
      <c r="Z10" s="222"/>
      <c r="AA10" s="222"/>
      <c r="AB10" s="223"/>
      <c r="AC10" s="223"/>
      <c r="AD10" s="224"/>
      <c r="AE10" s="225"/>
      <c r="AF10" s="225"/>
      <c r="AG10" s="224"/>
      <c r="AH10" s="217"/>
      <c r="AI10" s="226" t="s">
        <v>157</v>
      </c>
      <c r="AJ10" s="217" t="s">
        <v>157</v>
      </c>
      <c r="AK10" s="217" t="s">
        <v>157</v>
      </c>
      <c r="AL10" s="217" t="s">
        <v>157</v>
      </c>
      <c r="AM10" s="227" t="s">
        <v>157</v>
      </c>
      <c r="AN10" s="227">
        <v>0</v>
      </c>
      <c r="AO10" s="227" t="s">
        <v>157</v>
      </c>
      <c r="AP10" s="227" t="s">
        <v>157</v>
      </c>
      <c r="AQ10" s="227" t="s">
        <v>157</v>
      </c>
      <c r="AR10" s="227">
        <v>0</v>
      </c>
      <c r="AS10" s="227" t="s">
        <v>157</v>
      </c>
      <c r="AT10" s="227" t="s">
        <v>157</v>
      </c>
      <c r="AU10" s="228" t="s">
        <v>166</v>
      </c>
    </row>
    <row r="11" spans="1:46" ht="15.75">
      <c r="A11" s="149">
        <v>6</v>
      </c>
      <c r="B11" s="115">
        <v>1020</v>
      </c>
      <c r="C11" s="210" t="s">
        <v>76</v>
      </c>
      <c r="E11" s="211">
        <v>37274</v>
      </c>
      <c r="F11" s="211">
        <v>37361</v>
      </c>
      <c r="G11" s="211">
        <v>37456</v>
      </c>
      <c r="H11" s="211">
        <v>37544</v>
      </c>
      <c r="I11" s="211">
        <v>37641</v>
      </c>
      <c r="J11" s="211"/>
      <c r="K11" s="212">
        <v>22.4</v>
      </c>
      <c r="L11" s="212">
        <v>10.84</v>
      </c>
      <c r="M11" s="212">
        <v>17.55</v>
      </c>
      <c r="N11" s="212">
        <v>13.59</v>
      </c>
      <c r="O11" s="212">
        <v>22.52</v>
      </c>
      <c r="P11" s="216">
        <v>14.55</v>
      </c>
      <c r="Q11" s="216">
        <v>11.93</v>
      </c>
      <c r="R11" s="216">
        <v>14.54</v>
      </c>
      <c r="S11" s="216">
        <v>12.75</v>
      </c>
      <c r="T11" s="216">
        <v>10.59</v>
      </c>
      <c r="U11" s="216">
        <v>16.79</v>
      </c>
      <c r="V11" s="216">
        <v>13.76</v>
      </c>
      <c r="W11" s="216">
        <v>15.18</v>
      </c>
      <c r="X11" s="217">
        <v>11.18</v>
      </c>
      <c r="Y11" s="217">
        <v>1.552</v>
      </c>
      <c r="Z11" s="217">
        <v>4.81</v>
      </c>
      <c r="AA11" s="217">
        <v>6.88</v>
      </c>
      <c r="AB11" s="217"/>
      <c r="AC11" s="224"/>
      <c r="AD11" s="217" t="s">
        <v>150</v>
      </c>
      <c r="AE11" s="214">
        <f aca="true" t="shared" si="1" ref="AE11:AE16">K11+L11</f>
        <v>33.239999999999995</v>
      </c>
      <c r="AF11" s="214">
        <f aca="true" t="shared" si="2" ref="AF11:AT12">AE11+M11</f>
        <v>50.78999999999999</v>
      </c>
      <c r="AG11" s="214">
        <f t="shared" si="2"/>
        <v>64.38</v>
      </c>
      <c r="AH11" s="217">
        <f t="shared" si="2"/>
        <v>86.89999999999999</v>
      </c>
      <c r="AI11" s="224">
        <f t="shared" si="2"/>
        <v>101.44999999999999</v>
      </c>
      <c r="AJ11" s="217">
        <f t="shared" si="2"/>
        <v>113.38</v>
      </c>
      <c r="AK11" s="217">
        <f t="shared" si="2"/>
        <v>127.91999999999999</v>
      </c>
      <c r="AL11" s="217">
        <f t="shared" si="2"/>
        <v>140.67</v>
      </c>
      <c r="AM11" s="217">
        <f t="shared" si="2"/>
        <v>151.26</v>
      </c>
      <c r="AN11" s="217">
        <f t="shared" si="2"/>
        <v>168.04999999999998</v>
      </c>
      <c r="AO11" s="217">
        <f t="shared" si="2"/>
        <v>181.80999999999997</v>
      </c>
      <c r="AP11" s="217">
        <f t="shared" si="2"/>
        <v>196.98999999999998</v>
      </c>
      <c r="AQ11" s="217">
        <f t="shared" si="2"/>
        <v>208.17</v>
      </c>
      <c r="AR11" s="217">
        <f t="shared" si="2"/>
        <v>209.72199999999998</v>
      </c>
      <c r="AS11" s="217">
        <f t="shared" si="2"/>
        <v>214.53199999999998</v>
      </c>
      <c r="AT11" s="217">
        <f t="shared" si="2"/>
        <v>221.41199999999998</v>
      </c>
    </row>
    <row r="12" spans="1:46" ht="15.75">
      <c r="A12" s="149">
        <v>7</v>
      </c>
      <c r="B12" s="115">
        <v>1050</v>
      </c>
      <c r="C12" s="210" t="s">
        <v>107</v>
      </c>
      <c r="E12" s="211">
        <v>37266</v>
      </c>
      <c r="F12" s="211">
        <v>37361</v>
      </c>
      <c r="G12" s="211">
        <v>37453</v>
      </c>
      <c r="H12" s="211">
        <v>37544</v>
      </c>
      <c r="I12" s="211">
        <v>37631</v>
      </c>
      <c r="J12" s="211"/>
      <c r="K12" s="212">
        <v>160.2</v>
      </c>
      <c r="L12" s="212">
        <v>132.4</v>
      </c>
      <c r="M12" s="212">
        <v>41.5</v>
      </c>
      <c r="N12" s="212">
        <v>168.8</v>
      </c>
      <c r="O12" s="212">
        <v>172.8</v>
      </c>
      <c r="P12" s="216">
        <v>202.9</v>
      </c>
      <c r="Q12" s="216">
        <v>172.8</v>
      </c>
      <c r="R12" s="216">
        <v>72.3</v>
      </c>
      <c r="S12" s="216">
        <v>77.7</v>
      </c>
      <c r="T12" s="216">
        <v>103.6</v>
      </c>
      <c r="U12" s="216">
        <v>98.5</v>
      </c>
      <c r="V12" s="216">
        <v>31.7</v>
      </c>
      <c r="W12" s="216">
        <v>34.3</v>
      </c>
      <c r="X12" s="217">
        <v>33.1</v>
      </c>
      <c r="Y12" s="217">
        <v>93</v>
      </c>
      <c r="Z12" s="217">
        <v>92.1</v>
      </c>
      <c r="AA12" s="217">
        <v>60.2</v>
      </c>
      <c r="AB12" s="217"/>
      <c r="AC12" s="217"/>
      <c r="AD12" s="217" t="s">
        <v>150</v>
      </c>
      <c r="AE12" s="214">
        <f t="shared" si="1"/>
        <v>292.6</v>
      </c>
      <c r="AF12" s="214">
        <f t="shared" si="2"/>
        <v>334.1</v>
      </c>
      <c r="AG12" s="214">
        <f t="shared" si="2"/>
        <v>502.90000000000003</v>
      </c>
      <c r="AH12" s="217">
        <f t="shared" si="2"/>
        <v>675.7</v>
      </c>
      <c r="AI12" s="217">
        <f t="shared" si="2"/>
        <v>878.6</v>
      </c>
      <c r="AJ12" s="217">
        <f t="shared" si="2"/>
        <v>1051.4</v>
      </c>
      <c r="AK12" s="217">
        <f t="shared" si="2"/>
        <v>1123.7</v>
      </c>
      <c r="AL12" s="217">
        <f t="shared" si="2"/>
        <v>1201.4</v>
      </c>
      <c r="AM12" s="217">
        <f t="shared" si="2"/>
        <v>1305</v>
      </c>
      <c r="AN12" s="217">
        <f t="shared" si="2"/>
        <v>1403.5</v>
      </c>
      <c r="AO12" s="217">
        <f t="shared" si="2"/>
        <v>1435.2</v>
      </c>
      <c r="AP12" s="217">
        <f t="shared" si="2"/>
        <v>1469.5</v>
      </c>
      <c r="AQ12" s="217">
        <f t="shared" si="2"/>
        <v>1502.6</v>
      </c>
      <c r="AR12" s="217">
        <f t="shared" si="2"/>
        <v>1595.6</v>
      </c>
      <c r="AS12" s="217">
        <f t="shared" si="2"/>
        <v>1687.6999999999998</v>
      </c>
      <c r="AT12" s="217">
        <f t="shared" si="2"/>
        <v>1747.8999999999999</v>
      </c>
    </row>
    <row r="13" spans="1:47" ht="15.75">
      <c r="A13" s="149">
        <v>8</v>
      </c>
      <c r="B13" s="115">
        <v>1084</v>
      </c>
      <c r="C13" s="210" t="s">
        <v>53</v>
      </c>
      <c r="E13" s="211">
        <v>37263</v>
      </c>
      <c r="F13" s="211">
        <v>37354</v>
      </c>
      <c r="G13" s="211">
        <v>37460</v>
      </c>
      <c r="H13" s="211">
        <v>37537</v>
      </c>
      <c r="I13" s="211">
        <v>37631</v>
      </c>
      <c r="J13" s="211"/>
      <c r="K13" s="212">
        <v>16.9</v>
      </c>
      <c r="L13" s="212">
        <v>39.8</v>
      </c>
      <c r="M13" s="212">
        <v>41.1</v>
      </c>
      <c r="N13" s="212">
        <v>1.4</v>
      </c>
      <c r="O13" s="212">
        <v>8.2</v>
      </c>
      <c r="P13" s="216">
        <v>14.8</v>
      </c>
      <c r="Q13" s="216" t="s">
        <v>157</v>
      </c>
      <c r="R13" s="216" t="s">
        <v>157</v>
      </c>
      <c r="S13" s="216" t="s">
        <v>157</v>
      </c>
      <c r="T13" s="229">
        <v>0</v>
      </c>
      <c r="U13" s="229">
        <v>0</v>
      </c>
      <c r="V13" s="229">
        <v>0</v>
      </c>
      <c r="W13" s="229">
        <v>0</v>
      </c>
      <c r="X13" s="227"/>
      <c r="Y13" s="227"/>
      <c r="Z13" s="227"/>
      <c r="AA13" s="227"/>
      <c r="AB13" s="217"/>
      <c r="AC13" s="217"/>
      <c r="AD13" s="217" t="s">
        <v>150</v>
      </c>
      <c r="AE13" s="214">
        <f t="shared" si="1"/>
        <v>56.699999999999996</v>
      </c>
      <c r="AF13" s="214">
        <f>AE13+M13</f>
        <v>97.8</v>
      </c>
      <c r="AG13" s="214">
        <f>AF13+N13</f>
        <v>99.2</v>
      </c>
      <c r="AH13" s="217">
        <f>AG13+O13</f>
        <v>107.4</v>
      </c>
      <c r="AI13" s="217">
        <f>AH13+P13</f>
        <v>122.2</v>
      </c>
      <c r="AJ13" s="217">
        <v>122.2</v>
      </c>
      <c r="AK13" s="217">
        <v>122.2</v>
      </c>
      <c r="AL13" s="217">
        <v>122.2</v>
      </c>
      <c r="AM13" s="217">
        <f aca="true" t="shared" si="3" ref="AM13:AT13">AL13+T13</f>
        <v>122.2</v>
      </c>
      <c r="AN13" s="217">
        <f t="shared" si="3"/>
        <v>122.2</v>
      </c>
      <c r="AO13" s="217">
        <f t="shared" si="3"/>
        <v>122.2</v>
      </c>
      <c r="AP13" s="217">
        <f t="shared" si="3"/>
        <v>122.2</v>
      </c>
      <c r="AQ13" s="217">
        <f t="shared" si="3"/>
        <v>122.2</v>
      </c>
      <c r="AR13" s="217">
        <f t="shared" si="3"/>
        <v>122.2</v>
      </c>
      <c r="AS13" s="217">
        <f t="shared" si="3"/>
        <v>122.2</v>
      </c>
      <c r="AT13" s="217">
        <f t="shared" si="3"/>
        <v>122.2</v>
      </c>
      <c r="AU13" s="147" t="s">
        <v>70</v>
      </c>
    </row>
    <row r="14" spans="1:46" ht="15.75">
      <c r="A14" s="149">
        <v>9</v>
      </c>
      <c r="B14" s="115">
        <v>1129</v>
      </c>
      <c r="C14" s="210" t="s">
        <v>108</v>
      </c>
      <c r="E14" s="211" t="s">
        <v>150</v>
      </c>
      <c r="F14" s="211" t="s">
        <v>150</v>
      </c>
      <c r="G14" s="211" t="s">
        <v>150</v>
      </c>
      <c r="H14" s="211" t="s">
        <v>150</v>
      </c>
      <c r="I14" s="211"/>
      <c r="J14" s="211"/>
      <c r="K14" s="212" t="s">
        <v>150</v>
      </c>
      <c r="L14" s="212" t="s">
        <v>150</v>
      </c>
      <c r="M14" s="212" t="s">
        <v>150</v>
      </c>
      <c r="N14" s="212" t="s">
        <v>150</v>
      </c>
      <c r="O14" s="212" t="s">
        <v>150</v>
      </c>
      <c r="P14" s="219" t="s">
        <v>157</v>
      </c>
      <c r="Q14" s="219" t="s">
        <v>157</v>
      </c>
      <c r="R14" s="219" t="s">
        <v>157</v>
      </c>
      <c r="S14" s="219" t="s">
        <v>157</v>
      </c>
      <c r="T14" s="229">
        <v>0</v>
      </c>
      <c r="U14" s="229">
        <v>0</v>
      </c>
      <c r="V14" s="229">
        <v>0</v>
      </c>
      <c r="W14" s="216">
        <v>47</v>
      </c>
      <c r="X14" s="217">
        <v>37.1</v>
      </c>
      <c r="Y14" s="217">
        <v>21.9</v>
      </c>
      <c r="Z14" s="217">
        <v>37.7</v>
      </c>
      <c r="AA14" s="217">
        <v>21.6</v>
      </c>
      <c r="AB14" s="217"/>
      <c r="AC14" s="217"/>
      <c r="AD14" s="217" t="s">
        <v>150</v>
      </c>
      <c r="AE14" s="214" t="s">
        <v>150</v>
      </c>
      <c r="AF14" s="214" t="s">
        <v>150</v>
      </c>
      <c r="AG14" s="217" t="s">
        <v>150</v>
      </c>
      <c r="AH14" s="217"/>
      <c r="AI14" s="230" t="s">
        <v>157</v>
      </c>
      <c r="AJ14" s="230" t="s">
        <v>157</v>
      </c>
      <c r="AK14" s="230" t="s">
        <v>157</v>
      </c>
      <c r="AL14" s="230" t="s">
        <v>157</v>
      </c>
      <c r="AM14" s="227">
        <v>0</v>
      </c>
      <c r="AN14" s="227" t="s">
        <v>157</v>
      </c>
      <c r="AO14" s="217">
        <v>0</v>
      </c>
      <c r="AP14" s="217">
        <f aca="true" t="shared" si="4" ref="AP14:AT19">AO14+W14</f>
        <v>47</v>
      </c>
      <c r="AQ14" s="217">
        <f t="shared" si="4"/>
        <v>84.1</v>
      </c>
      <c r="AR14" s="217">
        <f t="shared" si="4"/>
        <v>106</v>
      </c>
      <c r="AS14" s="217">
        <f t="shared" si="4"/>
        <v>143.7</v>
      </c>
      <c r="AT14" s="217">
        <f t="shared" si="4"/>
        <v>165.29999999999998</v>
      </c>
    </row>
    <row r="15" spans="1:46" ht="15.75">
      <c r="A15" s="149">
        <v>10</v>
      </c>
      <c r="B15" s="115">
        <v>1037</v>
      </c>
      <c r="C15" s="210" t="s">
        <v>134</v>
      </c>
      <c r="E15" s="211">
        <v>37271</v>
      </c>
      <c r="F15" s="211">
        <v>37358</v>
      </c>
      <c r="G15" s="211">
        <v>37452</v>
      </c>
      <c r="H15" s="211">
        <v>37546</v>
      </c>
      <c r="I15" s="211">
        <v>37631</v>
      </c>
      <c r="J15" s="211"/>
      <c r="K15" s="212">
        <v>236.9</v>
      </c>
      <c r="L15" s="212">
        <v>156.5</v>
      </c>
      <c r="M15" s="212">
        <v>93.2</v>
      </c>
      <c r="N15" s="212">
        <v>148.9</v>
      </c>
      <c r="O15" s="212">
        <v>242</v>
      </c>
      <c r="P15" s="216">
        <v>242.1</v>
      </c>
      <c r="Q15" s="216">
        <v>25</v>
      </c>
      <c r="R15" s="216">
        <v>173.6</v>
      </c>
      <c r="S15" s="216">
        <v>282</v>
      </c>
      <c r="T15" s="216">
        <v>286.8</v>
      </c>
      <c r="U15" s="216">
        <v>230.4</v>
      </c>
      <c r="V15" s="216">
        <v>197.4</v>
      </c>
      <c r="W15" s="216">
        <v>122.1</v>
      </c>
      <c r="X15" s="217">
        <v>246</v>
      </c>
      <c r="Y15" s="217">
        <v>95.6</v>
      </c>
      <c r="Z15" s="217">
        <v>157.7</v>
      </c>
      <c r="AA15" s="217">
        <v>473.3</v>
      </c>
      <c r="AB15" s="217"/>
      <c r="AC15" s="217"/>
      <c r="AD15" s="217" t="s">
        <v>150</v>
      </c>
      <c r="AE15" s="214">
        <f t="shared" si="1"/>
        <v>393.4</v>
      </c>
      <c r="AF15" s="214">
        <f aca="true" t="shared" si="5" ref="AF15:AO16">AE15+M15</f>
        <v>486.59999999999997</v>
      </c>
      <c r="AG15" s="214">
        <f t="shared" si="5"/>
        <v>635.5</v>
      </c>
      <c r="AH15" s="217">
        <f t="shared" si="5"/>
        <v>877.5</v>
      </c>
      <c r="AI15" s="217">
        <f t="shared" si="5"/>
        <v>1119.6</v>
      </c>
      <c r="AJ15" s="217">
        <f t="shared" si="5"/>
        <v>1144.6</v>
      </c>
      <c r="AK15" s="217">
        <f t="shared" si="5"/>
        <v>1318.1999999999998</v>
      </c>
      <c r="AL15" s="217">
        <f t="shared" si="5"/>
        <v>1600.1999999999998</v>
      </c>
      <c r="AM15" s="217">
        <f t="shared" si="5"/>
        <v>1886.9999999999998</v>
      </c>
      <c r="AN15" s="217">
        <f t="shared" si="5"/>
        <v>2117.3999999999996</v>
      </c>
      <c r="AO15" s="217">
        <f t="shared" si="5"/>
        <v>2314.7999999999997</v>
      </c>
      <c r="AP15" s="217">
        <f t="shared" si="4"/>
        <v>2436.8999999999996</v>
      </c>
      <c r="AQ15" s="217">
        <f t="shared" si="4"/>
        <v>2682.8999999999996</v>
      </c>
      <c r="AR15" s="217">
        <f t="shared" si="4"/>
        <v>2778.4999999999995</v>
      </c>
      <c r="AS15" s="217">
        <f t="shared" si="4"/>
        <v>2936.1999999999994</v>
      </c>
      <c r="AT15" s="217">
        <f t="shared" si="4"/>
        <v>3409.4999999999995</v>
      </c>
    </row>
    <row r="16" spans="1:46" ht="18" customHeight="1">
      <c r="A16" s="149">
        <v>11</v>
      </c>
      <c r="B16" s="115">
        <v>1107</v>
      </c>
      <c r="C16" s="210" t="s">
        <v>230</v>
      </c>
      <c r="E16" s="211">
        <v>37272</v>
      </c>
      <c r="F16" s="211">
        <v>37370</v>
      </c>
      <c r="G16" s="211">
        <v>37447</v>
      </c>
      <c r="H16" s="211">
        <v>37532</v>
      </c>
      <c r="I16" s="211">
        <v>37629</v>
      </c>
      <c r="J16" s="211"/>
      <c r="K16" s="212">
        <v>287.5</v>
      </c>
      <c r="L16" s="212">
        <v>197.4</v>
      </c>
      <c r="M16" s="212">
        <v>274.8</v>
      </c>
      <c r="N16" s="212">
        <v>199.8</v>
      </c>
      <c r="O16" s="212">
        <v>147.25</v>
      </c>
      <c r="P16" s="216">
        <v>210.06</v>
      </c>
      <c r="Q16" s="216">
        <v>77</v>
      </c>
      <c r="R16" s="216">
        <v>148.86</v>
      </c>
      <c r="S16" s="216">
        <v>117.42</v>
      </c>
      <c r="T16" s="216">
        <v>207.94</v>
      </c>
      <c r="U16" s="216">
        <v>62.8</v>
      </c>
      <c r="V16" s="216">
        <v>84.08</v>
      </c>
      <c r="W16" s="216">
        <v>186.82</v>
      </c>
      <c r="X16" s="217">
        <v>175.59</v>
      </c>
      <c r="Y16" s="217">
        <v>-65.93</v>
      </c>
      <c r="Z16" s="217">
        <v>189.14</v>
      </c>
      <c r="AA16" s="217">
        <v>216.27</v>
      </c>
      <c r="AB16" s="217"/>
      <c r="AC16" s="217"/>
      <c r="AD16" s="217" t="s">
        <v>150</v>
      </c>
      <c r="AE16" s="214">
        <f t="shared" si="1"/>
        <v>484.9</v>
      </c>
      <c r="AF16" s="214">
        <f t="shared" si="5"/>
        <v>759.7</v>
      </c>
      <c r="AG16" s="214">
        <f t="shared" si="5"/>
        <v>959.5</v>
      </c>
      <c r="AH16" s="217">
        <f t="shared" si="5"/>
        <v>1106.75</v>
      </c>
      <c r="AI16" s="217">
        <f t="shared" si="5"/>
        <v>1316.81</v>
      </c>
      <c r="AJ16" s="217">
        <f t="shared" si="5"/>
        <v>1393.81</v>
      </c>
      <c r="AK16" s="217">
        <f t="shared" si="5"/>
        <v>1542.67</v>
      </c>
      <c r="AL16" s="217">
        <f t="shared" si="5"/>
        <v>1660.0900000000001</v>
      </c>
      <c r="AM16" s="217">
        <f t="shared" si="5"/>
        <v>1868.0300000000002</v>
      </c>
      <c r="AN16" s="217">
        <f t="shared" si="5"/>
        <v>1930.8300000000002</v>
      </c>
      <c r="AO16" s="217">
        <f t="shared" si="5"/>
        <v>2014.91</v>
      </c>
      <c r="AP16" s="217">
        <f t="shared" si="4"/>
        <v>2201.73</v>
      </c>
      <c r="AQ16" s="217">
        <f t="shared" si="4"/>
        <v>2377.32</v>
      </c>
      <c r="AR16" s="217">
        <f t="shared" si="4"/>
        <v>2311.3900000000003</v>
      </c>
      <c r="AS16" s="217">
        <f t="shared" si="4"/>
        <v>2500.53</v>
      </c>
      <c r="AT16" s="217">
        <f t="shared" si="4"/>
        <v>2716.8</v>
      </c>
    </row>
    <row r="17" spans="1:46" ht="15.75">
      <c r="A17" s="149">
        <v>12</v>
      </c>
      <c r="B17" s="115">
        <v>1144</v>
      </c>
      <c r="C17" s="210" t="s">
        <v>193</v>
      </c>
      <c r="E17" s="211" t="s">
        <v>150</v>
      </c>
      <c r="F17" s="211" t="s">
        <v>150</v>
      </c>
      <c r="G17" s="211" t="s">
        <v>150</v>
      </c>
      <c r="H17" s="211">
        <v>37538</v>
      </c>
      <c r="I17" s="211">
        <v>37628</v>
      </c>
      <c r="J17" s="211"/>
      <c r="K17" s="212" t="s">
        <v>150</v>
      </c>
      <c r="L17" s="212" t="s">
        <v>150</v>
      </c>
      <c r="M17" s="212" t="s">
        <v>150</v>
      </c>
      <c r="N17" s="212">
        <v>276</v>
      </c>
      <c r="O17" s="212">
        <v>443.2</v>
      </c>
      <c r="P17" s="216">
        <v>336.9</v>
      </c>
      <c r="Q17" s="216">
        <v>0</v>
      </c>
      <c r="R17" s="216">
        <v>263.8</v>
      </c>
      <c r="S17" s="216">
        <v>-181.9</v>
      </c>
      <c r="T17" s="216">
        <v>85.6</v>
      </c>
      <c r="U17" s="216">
        <v>92.8</v>
      </c>
      <c r="V17" s="216">
        <v>181.5</v>
      </c>
      <c r="W17" s="216">
        <v>304.6</v>
      </c>
      <c r="X17" s="217">
        <v>262.2</v>
      </c>
      <c r="Y17" s="217">
        <v>267.7</v>
      </c>
      <c r="Z17" s="217">
        <v>187.9</v>
      </c>
      <c r="AA17" s="217">
        <v>304.2</v>
      </c>
      <c r="AB17" s="217"/>
      <c r="AC17" s="217"/>
      <c r="AD17" s="217" t="s">
        <v>150</v>
      </c>
      <c r="AE17" s="214" t="s">
        <v>150</v>
      </c>
      <c r="AF17" s="214" t="s">
        <v>150</v>
      </c>
      <c r="AG17" s="217">
        <f>N17</f>
        <v>276</v>
      </c>
      <c r="AH17" s="217">
        <f aca="true" t="shared" si="6" ref="AH17:AO18">AG17+O17</f>
        <v>719.2</v>
      </c>
      <c r="AI17" s="217">
        <f t="shared" si="6"/>
        <v>1056.1</v>
      </c>
      <c r="AJ17" s="217">
        <f t="shared" si="6"/>
        <v>1056.1</v>
      </c>
      <c r="AK17" s="217">
        <f t="shared" si="6"/>
        <v>1319.8999999999999</v>
      </c>
      <c r="AL17" s="217">
        <f t="shared" si="6"/>
        <v>1137.9999999999998</v>
      </c>
      <c r="AM17" s="217">
        <f t="shared" si="6"/>
        <v>1223.5999999999997</v>
      </c>
      <c r="AN17" s="217">
        <f t="shared" si="6"/>
        <v>1316.3999999999996</v>
      </c>
      <c r="AO17" s="217">
        <f t="shared" si="6"/>
        <v>1497.8999999999996</v>
      </c>
      <c r="AP17" s="217">
        <f t="shared" si="4"/>
        <v>1802.4999999999995</v>
      </c>
      <c r="AQ17" s="217">
        <f t="shared" si="4"/>
        <v>2064.6999999999994</v>
      </c>
      <c r="AR17" s="217">
        <f t="shared" si="4"/>
        <v>2332.399999999999</v>
      </c>
      <c r="AS17" s="217">
        <f t="shared" si="4"/>
        <v>2520.2999999999993</v>
      </c>
      <c r="AT17" s="217">
        <f t="shared" si="4"/>
        <v>2824.499999999999</v>
      </c>
    </row>
    <row r="18" spans="1:46" ht="15.75">
      <c r="A18" s="149">
        <v>13</v>
      </c>
      <c r="B18" s="115">
        <v>1139</v>
      </c>
      <c r="C18" s="210" t="s">
        <v>61</v>
      </c>
      <c r="E18" s="211" t="s">
        <v>150</v>
      </c>
      <c r="F18" s="211" t="s">
        <v>150</v>
      </c>
      <c r="G18" s="211">
        <v>37453</v>
      </c>
      <c r="H18" s="211">
        <v>37544</v>
      </c>
      <c r="I18" s="211">
        <v>37635</v>
      </c>
      <c r="J18" s="211"/>
      <c r="K18" s="212" t="s">
        <v>150</v>
      </c>
      <c r="L18" s="212" t="s">
        <v>150</v>
      </c>
      <c r="M18" s="212">
        <v>12.57</v>
      </c>
      <c r="N18" s="212">
        <v>6.38</v>
      </c>
      <c r="O18" s="212">
        <v>22.31</v>
      </c>
      <c r="P18" s="216">
        <v>26.55</v>
      </c>
      <c r="Q18" s="216">
        <v>9.91</v>
      </c>
      <c r="R18" s="216">
        <v>6.2</v>
      </c>
      <c r="S18" s="216">
        <v>11.14</v>
      </c>
      <c r="T18" s="216">
        <v>0</v>
      </c>
      <c r="U18" s="216">
        <v>21.96</v>
      </c>
      <c r="V18" s="216">
        <v>11.28</v>
      </c>
      <c r="W18" s="216">
        <v>12.46</v>
      </c>
      <c r="X18" s="217">
        <v>21.18</v>
      </c>
      <c r="Y18" s="217">
        <v>16.66</v>
      </c>
      <c r="Z18" s="217">
        <v>21.39</v>
      </c>
      <c r="AA18" s="217">
        <v>21.14</v>
      </c>
      <c r="AB18" s="217"/>
      <c r="AC18" s="217"/>
      <c r="AD18" s="217" t="s">
        <v>150</v>
      </c>
      <c r="AE18" s="214" t="s">
        <v>150</v>
      </c>
      <c r="AF18" s="214">
        <f>M18</f>
        <v>12.57</v>
      </c>
      <c r="AG18" s="214">
        <f>AF18+N18</f>
        <v>18.95</v>
      </c>
      <c r="AH18" s="217">
        <f t="shared" si="6"/>
        <v>41.26</v>
      </c>
      <c r="AI18" s="217">
        <f t="shared" si="6"/>
        <v>67.81</v>
      </c>
      <c r="AJ18" s="217">
        <f t="shared" si="6"/>
        <v>77.72</v>
      </c>
      <c r="AK18" s="217">
        <f t="shared" si="6"/>
        <v>83.92</v>
      </c>
      <c r="AL18" s="217">
        <f t="shared" si="6"/>
        <v>95.06</v>
      </c>
      <c r="AM18" s="217">
        <f t="shared" si="6"/>
        <v>95.06</v>
      </c>
      <c r="AN18" s="217">
        <f t="shared" si="6"/>
        <v>117.02000000000001</v>
      </c>
      <c r="AO18" s="217">
        <f t="shared" si="6"/>
        <v>128.3</v>
      </c>
      <c r="AP18" s="217">
        <f t="shared" si="4"/>
        <v>140.76000000000002</v>
      </c>
      <c r="AQ18" s="217">
        <f t="shared" si="4"/>
        <v>161.94000000000003</v>
      </c>
      <c r="AR18" s="217">
        <f t="shared" si="4"/>
        <v>178.60000000000002</v>
      </c>
      <c r="AS18" s="217">
        <f t="shared" si="4"/>
        <v>199.99</v>
      </c>
      <c r="AT18" s="217">
        <f t="shared" si="4"/>
        <v>221.13</v>
      </c>
    </row>
    <row r="19" spans="1:46" ht="16.5" thickBot="1">
      <c r="A19" s="149">
        <v>14</v>
      </c>
      <c r="B19" s="115">
        <v>1047</v>
      </c>
      <c r="C19" s="210" t="s">
        <v>54</v>
      </c>
      <c r="E19" s="211" t="s">
        <v>150</v>
      </c>
      <c r="F19" s="211" t="s">
        <v>150</v>
      </c>
      <c r="G19" s="211" t="s">
        <v>150</v>
      </c>
      <c r="H19" s="211" t="s">
        <v>150</v>
      </c>
      <c r="I19" s="211">
        <v>37635</v>
      </c>
      <c r="J19" s="211"/>
      <c r="K19" s="212" t="s">
        <v>150</v>
      </c>
      <c r="L19" s="212" t="s">
        <v>150</v>
      </c>
      <c r="M19" s="212" t="s">
        <v>150</v>
      </c>
      <c r="N19" s="212" t="s">
        <v>150</v>
      </c>
      <c r="O19" s="212">
        <v>9.43</v>
      </c>
      <c r="P19" s="216">
        <v>13.41</v>
      </c>
      <c r="Q19" s="216">
        <v>9.72</v>
      </c>
      <c r="R19" s="216">
        <v>3.29</v>
      </c>
      <c r="S19" s="216">
        <v>3.04</v>
      </c>
      <c r="T19" s="216">
        <v>3.03</v>
      </c>
      <c r="U19" s="216">
        <v>-1.2</v>
      </c>
      <c r="V19" s="216">
        <v>8.33</v>
      </c>
      <c r="W19" s="216">
        <v>8.15</v>
      </c>
      <c r="X19" s="217">
        <v>5.62</v>
      </c>
      <c r="Y19" s="217">
        <v>5.62</v>
      </c>
      <c r="Z19" s="217">
        <v>3.7</v>
      </c>
      <c r="AA19" s="217">
        <v>3.44</v>
      </c>
      <c r="AB19" s="217"/>
      <c r="AC19" s="217"/>
      <c r="AD19" s="217" t="s">
        <v>150</v>
      </c>
      <c r="AE19" s="214" t="s">
        <v>150</v>
      </c>
      <c r="AF19" s="214" t="s">
        <v>150</v>
      </c>
      <c r="AG19" s="217" t="s">
        <v>150</v>
      </c>
      <c r="AH19" s="214">
        <f>O19</f>
        <v>9.43</v>
      </c>
      <c r="AI19" s="217">
        <f aca="true" t="shared" si="7" ref="AI19:AO19">AH19+P19</f>
        <v>22.84</v>
      </c>
      <c r="AJ19" s="217">
        <f t="shared" si="7"/>
        <v>32.56</v>
      </c>
      <c r="AK19" s="217">
        <f t="shared" si="7"/>
        <v>35.85</v>
      </c>
      <c r="AL19" s="217">
        <f t="shared" si="7"/>
        <v>38.89</v>
      </c>
      <c r="AM19" s="217">
        <f t="shared" si="7"/>
        <v>41.92</v>
      </c>
      <c r="AN19" s="217">
        <f t="shared" si="7"/>
        <v>40.72</v>
      </c>
      <c r="AO19" s="217">
        <f t="shared" si="7"/>
        <v>49.05</v>
      </c>
      <c r="AP19" s="217">
        <f t="shared" si="4"/>
        <v>57.199999999999996</v>
      </c>
      <c r="AQ19" s="217">
        <f t="shared" si="4"/>
        <v>62.81999999999999</v>
      </c>
      <c r="AR19" s="217">
        <f t="shared" si="4"/>
        <v>68.44</v>
      </c>
      <c r="AS19" s="217">
        <f t="shared" si="4"/>
        <v>72.14</v>
      </c>
      <c r="AT19" s="217">
        <f t="shared" si="4"/>
        <v>75.58</v>
      </c>
    </row>
    <row r="20" spans="1:47" s="20" customFormat="1" ht="16.5" thickBot="1">
      <c r="A20" s="41">
        <v>15</v>
      </c>
      <c r="B20" s="115">
        <v>1530</v>
      </c>
      <c r="C20" s="210" t="s">
        <v>141</v>
      </c>
      <c r="E20" s="425" t="s">
        <v>153</v>
      </c>
      <c r="F20" s="426"/>
      <c r="G20" s="426"/>
      <c r="H20" s="426"/>
      <c r="I20" s="427"/>
      <c r="J20" s="230"/>
      <c r="K20" s="214"/>
      <c r="L20" s="214"/>
      <c r="M20" s="214"/>
      <c r="N20" s="214"/>
      <c r="O20" s="214"/>
      <c r="P20" s="231" t="s">
        <v>157</v>
      </c>
      <c r="Q20" s="231" t="s">
        <v>157</v>
      </c>
      <c r="R20" s="231" t="s">
        <v>157</v>
      </c>
      <c r="S20" s="231" t="s">
        <v>157</v>
      </c>
      <c r="T20" s="214" t="s">
        <v>157</v>
      </c>
      <c r="U20" s="214" t="s">
        <v>157</v>
      </c>
      <c r="V20" s="214" t="s">
        <v>157</v>
      </c>
      <c r="W20" s="214" t="s">
        <v>157</v>
      </c>
      <c r="X20" s="214"/>
      <c r="Y20" s="214"/>
      <c r="Z20" s="214"/>
      <c r="AA20" s="214"/>
      <c r="AB20" s="214"/>
      <c r="AC20" s="217"/>
      <c r="AD20" s="217" t="s">
        <v>151</v>
      </c>
      <c r="AE20" s="33"/>
      <c r="AF20" s="33"/>
      <c r="AG20" s="33"/>
      <c r="AH20" s="33"/>
      <c r="AI20" s="232" t="s">
        <v>157</v>
      </c>
      <c r="AJ20" s="232" t="s">
        <v>157</v>
      </c>
      <c r="AK20" s="232" t="s">
        <v>157</v>
      </c>
      <c r="AL20" s="232" t="s">
        <v>157</v>
      </c>
      <c r="AM20" s="232" t="s">
        <v>157</v>
      </c>
      <c r="AN20" s="232" t="s">
        <v>157</v>
      </c>
      <c r="AO20" s="232" t="s">
        <v>157</v>
      </c>
      <c r="AP20" s="227" t="s">
        <v>157</v>
      </c>
      <c r="AQ20" s="232" t="s">
        <v>157</v>
      </c>
      <c r="AR20" s="232" t="s">
        <v>157</v>
      </c>
      <c r="AS20" s="232" t="s">
        <v>157</v>
      </c>
      <c r="AT20" s="227" t="s">
        <v>157</v>
      </c>
      <c r="AU20" s="233" t="s">
        <v>142</v>
      </c>
    </row>
    <row r="21" spans="1:47" ht="16.5" thickBot="1">
      <c r="A21" s="149">
        <v>16</v>
      </c>
      <c r="B21" s="115">
        <v>1028</v>
      </c>
      <c r="C21" s="210" t="s">
        <v>57</v>
      </c>
      <c r="E21" s="211" t="s">
        <v>150</v>
      </c>
      <c r="F21" s="211" t="s">
        <v>150</v>
      </c>
      <c r="G21" s="211" t="s">
        <v>150</v>
      </c>
      <c r="H21" s="211" t="s">
        <v>150</v>
      </c>
      <c r="I21" s="211"/>
      <c r="J21" s="211"/>
      <c r="K21" s="212" t="s">
        <v>150</v>
      </c>
      <c r="L21" s="212" t="s">
        <v>150</v>
      </c>
      <c r="M21" s="212" t="s">
        <v>150</v>
      </c>
      <c r="N21" s="212" t="s">
        <v>150</v>
      </c>
      <c r="O21" s="212" t="s">
        <v>150</v>
      </c>
      <c r="P21" s="213" t="s">
        <v>157</v>
      </c>
      <c r="Q21" s="213" t="s">
        <v>157</v>
      </c>
      <c r="R21" s="213" t="s">
        <v>157</v>
      </c>
      <c r="S21" s="234" t="s">
        <v>157</v>
      </c>
      <c r="T21" s="235">
        <v>20.86</v>
      </c>
      <c r="U21" s="235">
        <v>43.88</v>
      </c>
      <c r="V21" s="235">
        <v>45.82</v>
      </c>
      <c r="W21" s="235">
        <v>40.68</v>
      </c>
      <c r="X21" s="224">
        <v>13.87</v>
      </c>
      <c r="Y21" s="224">
        <v>9.41</v>
      </c>
      <c r="Z21" s="224">
        <v>43.09</v>
      </c>
      <c r="AA21" s="224">
        <v>35.42</v>
      </c>
      <c r="AB21" s="224"/>
      <c r="AC21" s="224"/>
      <c r="AD21" s="217" t="s">
        <v>150</v>
      </c>
      <c r="AE21" s="214" t="s">
        <v>150</v>
      </c>
      <c r="AF21" s="214" t="s">
        <v>150</v>
      </c>
      <c r="AG21" s="217" t="s">
        <v>150</v>
      </c>
      <c r="AH21" s="217"/>
      <c r="AI21" s="236" t="s">
        <v>157</v>
      </c>
      <c r="AJ21" s="236" t="s">
        <v>157</v>
      </c>
      <c r="AK21" s="236" t="s">
        <v>157</v>
      </c>
      <c r="AL21" s="237">
        <v>0</v>
      </c>
      <c r="AM21" s="217">
        <f aca="true" t="shared" si="8" ref="AM21:AT21">AL21+T21</f>
        <v>20.86</v>
      </c>
      <c r="AN21" s="217">
        <f t="shared" si="8"/>
        <v>64.74000000000001</v>
      </c>
      <c r="AO21" s="217">
        <f t="shared" si="8"/>
        <v>110.56</v>
      </c>
      <c r="AP21" s="217">
        <f t="shared" si="8"/>
        <v>151.24</v>
      </c>
      <c r="AQ21" s="217">
        <f t="shared" si="8"/>
        <v>165.11</v>
      </c>
      <c r="AR21" s="217">
        <f t="shared" si="8"/>
        <v>174.52</v>
      </c>
      <c r="AS21" s="217">
        <f t="shared" si="8"/>
        <v>217.61</v>
      </c>
      <c r="AT21" s="217">
        <f t="shared" si="8"/>
        <v>253.03000000000003</v>
      </c>
      <c r="AU21" s="238" t="s">
        <v>167</v>
      </c>
    </row>
    <row r="22" spans="1:47" ht="19.5" thickBot="1">
      <c r="A22" s="149">
        <v>17</v>
      </c>
      <c r="B22" s="115">
        <v>1206</v>
      </c>
      <c r="C22" s="210" t="s">
        <v>288</v>
      </c>
      <c r="D22" s="420" t="s">
        <v>154</v>
      </c>
      <c r="E22" s="421"/>
      <c r="F22" s="421"/>
      <c r="G22" s="421"/>
      <c r="H22" s="421"/>
      <c r="I22" s="422"/>
      <c r="J22" s="211"/>
      <c r="K22" s="212"/>
      <c r="L22" s="212"/>
      <c r="M22" s="212"/>
      <c r="N22" s="212"/>
      <c r="O22" s="212"/>
      <c r="P22" s="213" t="s">
        <v>157</v>
      </c>
      <c r="Q22" s="213" t="s">
        <v>157</v>
      </c>
      <c r="R22" s="213" t="s">
        <v>157</v>
      </c>
      <c r="S22" s="234" t="s">
        <v>157</v>
      </c>
      <c r="T22" s="235" t="s">
        <v>157</v>
      </c>
      <c r="U22" s="235" t="s">
        <v>157</v>
      </c>
      <c r="V22" s="235" t="s">
        <v>157</v>
      </c>
      <c r="W22" s="235" t="s">
        <v>157</v>
      </c>
      <c r="X22" s="224"/>
      <c r="Y22" s="224"/>
      <c r="Z22" s="224"/>
      <c r="AA22" s="224"/>
      <c r="AB22" s="224"/>
      <c r="AC22" s="223"/>
      <c r="AD22" s="423" t="s">
        <v>155</v>
      </c>
      <c r="AE22" s="424"/>
      <c r="AF22" s="424"/>
      <c r="AG22" s="424"/>
      <c r="AH22" s="424"/>
      <c r="AI22" s="226" t="s">
        <v>157</v>
      </c>
      <c r="AJ22" s="226" t="s">
        <v>157</v>
      </c>
      <c r="AK22" s="226" t="s">
        <v>157</v>
      </c>
      <c r="AL22" s="226" t="s">
        <v>157</v>
      </c>
      <c r="AM22" s="217" t="s">
        <v>157</v>
      </c>
      <c r="AN22" s="217" t="s">
        <v>157</v>
      </c>
      <c r="AO22" s="217" t="s">
        <v>157</v>
      </c>
      <c r="AP22" s="217" t="s">
        <v>157</v>
      </c>
      <c r="AQ22" s="217" t="s">
        <v>157</v>
      </c>
      <c r="AR22" s="217" t="s">
        <v>157</v>
      </c>
      <c r="AS22" s="217" t="s">
        <v>157</v>
      </c>
      <c r="AT22" s="217" t="s">
        <v>157</v>
      </c>
      <c r="AU22" s="147" t="s">
        <v>166</v>
      </c>
    </row>
    <row r="23" spans="1:46" ht="18.75">
      <c r="A23" s="149">
        <v>18</v>
      </c>
      <c r="B23" s="115">
        <v>1268</v>
      </c>
      <c r="C23" s="210" t="s">
        <v>289</v>
      </c>
      <c r="D23" s="239">
        <v>76</v>
      </c>
      <c r="E23" s="211" t="s">
        <v>150</v>
      </c>
      <c r="F23" s="211">
        <v>37361</v>
      </c>
      <c r="G23" s="211">
        <v>37461</v>
      </c>
      <c r="H23" s="211">
        <v>37540</v>
      </c>
      <c r="I23" s="211">
        <v>37634</v>
      </c>
      <c r="J23" s="211"/>
      <c r="K23" s="212" t="s">
        <v>150</v>
      </c>
      <c r="L23" s="212">
        <v>123.7</v>
      </c>
      <c r="M23" s="212">
        <v>113.3</v>
      </c>
      <c r="N23" s="212">
        <v>120.5</v>
      </c>
      <c r="O23" s="212">
        <v>129.3</v>
      </c>
      <c r="P23" s="216">
        <v>114.2</v>
      </c>
      <c r="Q23" s="216">
        <v>111.1</v>
      </c>
      <c r="R23" s="216">
        <v>122.4</v>
      </c>
      <c r="S23" s="216">
        <v>99.7</v>
      </c>
      <c r="T23" s="216">
        <v>106.6</v>
      </c>
      <c r="U23" s="216">
        <v>99.5</v>
      </c>
      <c r="V23" s="216">
        <v>50.2</v>
      </c>
      <c r="W23" s="216">
        <v>82.1</v>
      </c>
      <c r="X23" s="217">
        <v>75</v>
      </c>
      <c r="Y23" s="217">
        <v>67.5</v>
      </c>
      <c r="Z23" s="217">
        <v>62.4</v>
      </c>
      <c r="AA23" s="217">
        <v>60.8</v>
      </c>
      <c r="AB23" s="217"/>
      <c r="AC23" s="217"/>
      <c r="AD23" s="217" t="s">
        <v>150</v>
      </c>
      <c r="AE23" s="214">
        <f>L23</f>
        <v>123.7</v>
      </c>
      <c r="AF23" s="214">
        <f aca="true" t="shared" si="9" ref="AF23:AT23">AE23+M23</f>
        <v>237</v>
      </c>
      <c r="AG23" s="214">
        <f t="shared" si="9"/>
        <v>357.5</v>
      </c>
      <c r="AH23" s="217">
        <f t="shared" si="9"/>
        <v>486.8</v>
      </c>
      <c r="AI23" s="217">
        <f t="shared" si="9"/>
        <v>601</v>
      </c>
      <c r="AJ23" s="217">
        <f t="shared" si="9"/>
        <v>712.1</v>
      </c>
      <c r="AK23" s="217">
        <f t="shared" si="9"/>
        <v>834.5</v>
      </c>
      <c r="AL23" s="217">
        <f t="shared" si="9"/>
        <v>934.2</v>
      </c>
      <c r="AM23" s="217">
        <f t="shared" si="9"/>
        <v>1040.8</v>
      </c>
      <c r="AN23" s="217">
        <f t="shared" si="9"/>
        <v>1140.3</v>
      </c>
      <c r="AO23" s="217">
        <f t="shared" si="9"/>
        <v>1190.5</v>
      </c>
      <c r="AP23" s="217">
        <f t="shared" si="9"/>
        <v>1272.6</v>
      </c>
      <c r="AQ23" s="217">
        <f t="shared" si="9"/>
        <v>1347.6</v>
      </c>
      <c r="AR23" s="217">
        <f t="shared" si="9"/>
        <v>1415.1</v>
      </c>
      <c r="AS23" s="217">
        <f t="shared" si="9"/>
        <v>1477.5</v>
      </c>
      <c r="AT23" s="217">
        <f t="shared" si="9"/>
        <v>1538.3</v>
      </c>
    </row>
    <row r="24" spans="1:47" ht="15.75">
      <c r="A24" s="149">
        <v>19</v>
      </c>
      <c r="B24" s="115">
        <v>1113</v>
      </c>
      <c r="C24" s="210" t="s">
        <v>52</v>
      </c>
      <c r="E24" s="211" t="s">
        <v>150</v>
      </c>
      <c r="F24" s="211" t="s">
        <v>150</v>
      </c>
      <c r="G24" s="211" t="s">
        <v>150</v>
      </c>
      <c r="H24" s="211">
        <v>37540</v>
      </c>
      <c r="I24" s="211">
        <v>37634</v>
      </c>
      <c r="J24" s="211"/>
      <c r="K24" s="212" t="s">
        <v>150</v>
      </c>
      <c r="L24" s="212" t="s">
        <v>150</v>
      </c>
      <c r="M24" s="212" t="s">
        <v>150</v>
      </c>
      <c r="N24" s="212">
        <v>65.9</v>
      </c>
      <c r="O24" s="212">
        <v>97.3</v>
      </c>
      <c r="P24" s="216">
        <v>96</v>
      </c>
      <c r="Q24" s="216">
        <v>83.4</v>
      </c>
      <c r="R24" s="216">
        <v>79.3</v>
      </c>
      <c r="S24" s="216">
        <v>55.14</v>
      </c>
      <c r="T24" s="216">
        <v>55</v>
      </c>
      <c r="U24" s="216">
        <v>59.9</v>
      </c>
      <c r="V24" s="216">
        <v>50.1</v>
      </c>
      <c r="W24" s="216">
        <v>50.3</v>
      </c>
      <c r="X24" s="217">
        <v>-50.9</v>
      </c>
      <c r="Y24" s="217">
        <v>19.5</v>
      </c>
      <c r="Z24" s="217">
        <v>2.8</v>
      </c>
      <c r="AA24" s="217">
        <v>0</v>
      </c>
      <c r="AB24" s="217"/>
      <c r="AC24" s="217"/>
      <c r="AD24" s="217" t="s">
        <v>150</v>
      </c>
      <c r="AE24" s="214" t="s">
        <v>150</v>
      </c>
      <c r="AF24" s="214" t="s">
        <v>150</v>
      </c>
      <c r="AG24" s="217">
        <f>N24</f>
        <v>65.9</v>
      </c>
      <c r="AH24" s="217">
        <f aca="true" t="shared" si="10" ref="AH24:AH33">AG24+O24</f>
        <v>163.2</v>
      </c>
      <c r="AI24" s="217">
        <f aca="true" t="shared" si="11" ref="AI24:AI33">AH24+P24</f>
        <v>259.2</v>
      </c>
      <c r="AJ24" s="217">
        <f aca="true" t="shared" si="12" ref="AJ24:AJ33">AI24+Q24</f>
        <v>342.6</v>
      </c>
      <c r="AK24" s="217">
        <f aca="true" t="shared" si="13" ref="AK24:AK33">AJ24+R24</f>
        <v>421.90000000000003</v>
      </c>
      <c r="AL24" s="217">
        <f aca="true" t="shared" si="14" ref="AL24:AL33">AK24+S24</f>
        <v>477.04</v>
      </c>
      <c r="AM24" s="217">
        <f aca="true" t="shared" si="15" ref="AM24:AM33">AL24+T24</f>
        <v>532.04</v>
      </c>
      <c r="AN24" s="217">
        <f aca="true" t="shared" si="16" ref="AN24:AN33">AM24+U24</f>
        <v>591.9399999999999</v>
      </c>
      <c r="AO24" s="217">
        <f aca="true" t="shared" si="17" ref="AO24:AO33">AN24+V24</f>
        <v>642.04</v>
      </c>
      <c r="AP24" s="217">
        <f aca="true" t="shared" si="18" ref="AP24:AP33">AO24+W24</f>
        <v>692.3399999999999</v>
      </c>
      <c r="AQ24" s="217">
        <f aca="true" t="shared" si="19" ref="AQ24:AQ33">AP24+X24</f>
        <v>641.4399999999999</v>
      </c>
      <c r="AR24" s="217">
        <f aca="true" t="shared" si="20" ref="AR24:AR33">AQ24+Y24</f>
        <v>660.9399999999999</v>
      </c>
      <c r="AS24" s="217">
        <f aca="true" t="shared" si="21" ref="AS24:AS33">AR24+Z24</f>
        <v>663.7399999999999</v>
      </c>
      <c r="AT24" s="217">
        <f aca="true" t="shared" si="22" ref="AT24:AT33">AS24+AA24</f>
        <v>663.7399999999999</v>
      </c>
      <c r="AU24" s="147" t="s">
        <v>70</v>
      </c>
    </row>
    <row r="25" spans="1:46" ht="15.75">
      <c r="A25" s="149">
        <v>20</v>
      </c>
      <c r="B25" s="115">
        <v>1141</v>
      </c>
      <c r="C25" s="210" t="s">
        <v>111</v>
      </c>
      <c r="E25" s="211">
        <v>37308</v>
      </c>
      <c r="F25" s="211">
        <v>37361</v>
      </c>
      <c r="G25" s="211">
        <v>37449</v>
      </c>
      <c r="H25" s="211">
        <v>37545</v>
      </c>
      <c r="I25" s="211">
        <v>37635</v>
      </c>
      <c r="J25" s="211"/>
      <c r="K25" s="212">
        <v>1393.62</v>
      </c>
      <c r="L25" s="212">
        <v>1289.3</v>
      </c>
      <c r="M25" s="212">
        <v>1408.1</v>
      </c>
      <c r="N25" s="212">
        <v>900.4</v>
      </c>
      <c r="O25" s="212">
        <v>1459.89</v>
      </c>
      <c r="P25" s="216">
        <v>1698.82</v>
      </c>
      <c r="Q25" s="216">
        <v>1468.15</v>
      </c>
      <c r="R25" s="216">
        <v>1605.64</v>
      </c>
      <c r="S25" s="216">
        <v>1860.66</v>
      </c>
      <c r="T25" s="216">
        <v>1809.4</v>
      </c>
      <c r="U25" s="216">
        <v>1799.99</v>
      </c>
      <c r="V25" s="216">
        <v>1743.65</v>
      </c>
      <c r="W25" s="216">
        <v>1907.16</v>
      </c>
      <c r="X25" s="217">
        <v>1645.67</v>
      </c>
      <c r="Y25" s="217">
        <v>1231.35</v>
      </c>
      <c r="Z25" s="217">
        <v>1482.93</v>
      </c>
      <c r="AA25" s="217">
        <v>1024.66</v>
      </c>
      <c r="AB25" s="217"/>
      <c r="AC25" s="217"/>
      <c r="AD25" s="217" t="s">
        <v>150</v>
      </c>
      <c r="AE25" s="214">
        <f>K25+L25</f>
        <v>2682.92</v>
      </c>
      <c r="AF25" s="214">
        <f>AE25+M25</f>
        <v>4091.02</v>
      </c>
      <c r="AG25" s="214">
        <f>AF25+N25</f>
        <v>4991.42</v>
      </c>
      <c r="AH25" s="217">
        <f t="shared" si="10"/>
        <v>6451.31</v>
      </c>
      <c r="AI25" s="217">
        <f t="shared" si="11"/>
        <v>8150.13</v>
      </c>
      <c r="AJ25" s="217">
        <f t="shared" si="12"/>
        <v>9618.28</v>
      </c>
      <c r="AK25" s="217">
        <f t="shared" si="13"/>
        <v>11223.92</v>
      </c>
      <c r="AL25" s="217">
        <f t="shared" si="14"/>
        <v>13084.58</v>
      </c>
      <c r="AM25" s="217">
        <f t="shared" si="15"/>
        <v>14893.98</v>
      </c>
      <c r="AN25" s="217">
        <f t="shared" si="16"/>
        <v>16693.97</v>
      </c>
      <c r="AO25" s="217">
        <f t="shared" si="17"/>
        <v>18437.620000000003</v>
      </c>
      <c r="AP25" s="217">
        <f t="shared" si="18"/>
        <v>20344.780000000002</v>
      </c>
      <c r="AQ25" s="217">
        <f t="shared" si="19"/>
        <v>21990.450000000004</v>
      </c>
      <c r="AR25" s="217">
        <f t="shared" si="20"/>
        <v>23221.800000000003</v>
      </c>
      <c r="AS25" s="217">
        <f t="shared" si="21"/>
        <v>24704.730000000003</v>
      </c>
      <c r="AT25" s="217">
        <f t="shared" si="22"/>
        <v>25729.390000000003</v>
      </c>
    </row>
    <row r="26" spans="1:47" ht="15.75">
      <c r="A26" s="149">
        <v>21</v>
      </c>
      <c r="B26" s="115">
        <v>1133</v>
      </c>
      <c r="C26" s="210" t="s">
        <v>176</v>
      </c>
      <c r="E26" s="211">
        <v>37266</v>
      </c>
      <c r="F26" s="211">
        <v>37356</v>
      </c>
      <c r="G26" s="211">
        <v>37459</v>
      </c>
      <c r="H26" s="211">
        <v>37539</v>
      </c>
      <c r="I26" s="211">
        <v>37636</v>
      </c>
      <c r="J26" s="211"/>
      <c r="K26" s="212">
        <v>158.21</v>
      </c>
      <c r="L26" s="212">
        <v>125.22</v>
      </c>
      <c r="M26" s="212">
        <v>65.03</v>
      </c>
      <c r="N26" s="212">
        <v>28.87</v>
      </c>
      <c r="O26" s="212">
        <v>44.3</v>
      </c>
      <c r="P26" s="216">
        <v>64.2</v>
      </c>
      <c r="Q26" s="216">
        <v>68.72</v>
      </c>
      <c r="R26" s="216">
        <v>44.96</v>
      </c>
      <c r="S26" s="216">
        <v>102.06</v>
      </c>
      <c r="T26" s="216">
        <v>93.63</v>
      </c>
      <c r="U26" s="216">
        <v>73.15</v>
      </c>
      <c r="V26" s="216">
        <v>79.87</v>
      </c>
      <c r="W26" s="216">
        <v>62.47</v>
      </c>
      <c r="X26" s="217">
        <v>-4.02</v>
      </c>
      <c r="Y26" s="217">
        <v>88.46</v>
      </c>
      <c r="Z26" s="217">
        <v>85.35</v>
      </c>
      <c r="AA26" s="217">
        <v>49.18</v>
      </c>
      <c r="AB26" s="217"/>
      <c r="AC26" s="217"/>
      <c r="AD26" s="217" t="s">
        <v>150</v>
      </c>
      <c r="AE26" s="214">
        <f>K26+L26</f>
        <v>283.43</v>
      </c>
      <c r="AF26" s="214">
        <f>AE26+M26</f>
        <v>348.46000000000004</v>
      </c>
      <c r="AG26" s="214">
        <f>AF26+N26</f>
        <v>377.33000000000004</v>
      </c>
      <c r="AH26" s="217">
        <f t="shared" si="10"/>
        <v>421.63000000000005</v>
      </c>
      <c r="AI26" s="217">
        <f t="shared" si="11"/>
        <v>485.83000000000004</v>
      </c>
      <c r="AJ26" s="217">
        <f t="shared" si="12"/>
        <v>554.5500000000001</v>
      </c>
      <c r="AK26" s="217">
        <f t="shared" si="13"/>
        <v>599.5100000000001</v>
      </c>
      <c r="AL26" s="217">
        <f t="shared" si="14"/>
        <v>701.5700000000002</v>
      </c>
      <c r="AM26" s="217">
        <f t="shared" si="15"/>
        <v>795.2000000000002</v>
      </c>
      <c r="AN26" s="217">
        <f t="shared" si="16"/>
        <v>868.3500000000001</v>
      </c>
      <c r="AO26" s="217">
        <f t="shared" si="17"/>
        <v>948.2200000000001</v>
      </c>
      <c r="AP26" s="217">
        <f t="shared" si="18"/>
        <v>1010.6900000000002</v>
      </c>
      <c r="AQ26" s="217">
        <f t="shared" si="19"/>
        <v>1006.6700000000002</v>
      </c>
      <c r="AR26" s="217">
        <f t="shared" si="20"/>
        <v>1095.13</v>
      </c>
      <c r="AS26" s="217">
        <f t="shared" si="21"/>
        <v>1180.48</v>
      </c>
      <c r="AT26" s="217">
        <f t="shared" si="22"/>
        <v>1229.66</v>
      </c>
      <c r="AU26" s="147" t="s">
        <v>70</v>
      </c>
    </row>
    <row r="27" spans="1:47" s="20" customFormat="1" ht="15.75">
      <c r="A27" s="41">
        <v>22</v>
      </c>
      <c r="B27" s="115">
        <v>1112</v>
      </c>
      <c r="C27" s="210" t="s">
        <v>231</v>
      </c>
      <c r="E27" s="230" t="s">
        <v>150</v>
      </c>
      <c r="F27" s="230" t="s">
        <v>150</v>
      </c>
      <c r="G27" s="230" t="s">
        <v>150</v>
      </c>
      <c r="H27" s="230">
        <v>37545</v>
      </c>
      <c r="I27" s="230">
        <v>37637</v>
      </c>
      <c r="J27" s="230"/>
      <c r="K27" s="214" t="s">
        <v>150</v>
      </c>
      <c r="L27" s="214" t="s">
        <v>150</v>
      </c>
      <c r="M27" s="214" t="s">
        <v>150</v>
      </c>
      <c r="N27" s="214">
        <v>82.9</v>
      </c>
      <c r="O27" s="214">
        <v>85.6</v>
      </c>
      <c r="P27" s="217">
        <v>61.4</v>
      </c>
      <c r="Q27" s="217">
        <v>69.07</v>
      </c>
      <c r="R27" s="217">
        <v>53.2</v>
      </c>
      <c r="S27" s="217">
        <v>73.5</v>
      </c>
      <c r="T27" s="217">
        <v>29.9</v>
      </c>
      <c r="U27" s="217">
        <v>9.74</v>
      </c>
      <c r="V27" s="217">
        <v>46.3</v>
      </c>
      <c r="W27" s="217">
        <v>79</v>
      </c>
      <c r="X27" s="217">
        <v>0</v>
      </c>
      <c r="Y27" s="217">
        <v>0</v>
      </c>
      <c r="Z27" s="217">
        <v>0</v>
      </c>
      <c r="AA27" s="217">
        <v>0</v>
      </c>
      <c r="AB27" s="217"/>
      <c r="AC27" s="217"/>
      <c r="AD27" s="217" t="s">
        <v>150</v>
      </c>
      <c r="AE27" s="214" t="s">
        <v>150</v>
      </c>
      <c r="AF27" s="214" t="s">
        <v>150</v>
      </c>
      <c r="AG27" s="217">
        <f>N27</f>
        <v>82.9</v>
      </c>
      <c r="AH27" s="217">
        <f t="shared" si="10"/>
        <v>168.5</v>
      </c>
      <c r="AI27" s="217">
        <f t="shared" si="11"/>
        <v>229.9</v>
      </c>
      <c r="AJ27" s="217">
        <f t="shared" si="12"/>
        <v>298.97</v>
      </c>
      <c r="AK27" s="217">
        <f t="shared" si="13"/>
        <v>352.17</v>
      </c>
      <c r="AL27" s="217">
        <f t="shared" si="14"/>
        <v>425.67</v>
      </c>
      <c r="AM27" s="217">
        <f t="shared" si="15"/>
        <v>455.57</v>
      </c>
      <c r="AN27" s="217">
        <f t="shared" si="16"/>
        <v>465.31</v>
      </c>
      <c r="AO27" s="217">
        <f t="shared" si="17"/>
        <v>511.61</v>
      </c>
      <c r="AP27" s="217">
        <f t="shared" si="18"/>
        <v>590.61</v>
      </c>
      <c r="AQ27" s="217">
        <f t="shared" si="19"/>
        <v>590.61</v>
      </c>
      <c r="AR27" s="217">
        <f t="shared" si="20"/>
        <v>590.61</v>
      </c>
      <c r="AS27" s="217">
        <f t="shared" si="21"/>
        <v>590.61</v>
      </c>
      <c r="AT27" s="217">
        <f t="shared" si="22"/>
        <v>590.61</v>
      </c>
      <c r="AU27" s="20" t="s">
        <v>70</v>
      </c>
    </row>
    <row r="28" spans="1:46" ht="15.75">
      <c r="A28" s="149">
        <v>23</v>
      </c>
      <c r="B28" s="115">
        <v>1296</v>
      </c>
      <c r="C28" s="210" t="s">
        <v>56</v>
      </c>
      <c r="E28" s="211">
        <v>37270</v>
      </c>
      <c r="F28" s="211">
        <v>37371</v>
      </c>
      <c r="G28" s="211">
        <v>37441</v>
      </c>
      <c r="H28" s="211">
        <v>37564</v>
      </c>
      <c r="I28" s="211">
        <v>37630</v>
      </c>
      <c r="J28" s="211"/>
      <c r="K28" s="212">
        <v>9.76</v>
      </c>
      <c r="L28" s="212">
        <v>5.56</v>
      </c>
      <c r="M28" s="212">
        <v>5.18</v>
      </c>
      <c r="N28" s="212">
        <v>43.25</v>
      </c>
      <c r="O28" s="212">
        <v>49.41</v>
      </c>
      <c r="P28" s="216">
        <v>44.22</v>
      </c>
      <c r="Q28" s="216">
        <v>51.05</v>
      </c>
      <c r="R28" s="216">
        <v>45.91</v>
      </c>
      <c r="S28" s="216">
        <v>49.09</v>
      </c>
      <c r="T28" s="216">
        <v>51.85</v>
      </c>
      <c r="U28" s="216">
        <v>49.01</v>
      </c>
      <c r="V28" s="216">
        <v>27.18</v>
      </c>
      <c r="W28" s="216">
        <v>19.41</v>
      </c>
      <c r="X28" s="217">
        <v>31.76</v>
      </c>
      <c r="Y28" s="217">
        <v>32.76</v>
      </c>
      <c r="Z28" s="217">
        <v>40.32</v>
      </c>
      <c r="AA28" s="217">
        <v>55.1</v>
      </c>
      <c r="AB28" s="217"/>
      <c r="AC28" s="217"/>
      <c r="AD28" s="217" t="s">
        <v>150</v>
      </c>
      <c r="AE28" s="214">
        <f>K28+L28</f>
        <v>15.32</v>
      </c>
      <c r="AF28" s="214">
        <f aca="true" t="shared" si="23" ref="AF28:AG33">AE28+M28</f>
        <v>20.5</v>
      </c>
      <c r="AG28" s="214">
        <f t="shared" si="23"/>
        <v>63.75</v>
      </c>
      <c r="AH28" s="217">
        <f t="shared" si="10"/>
        <v>113.16</v>
      </c>
      <c r="AI28" s="217">
        <f t="shared" si="11"/>
        <v>157.38</v>
      </c>
      <c r="AJ28" s="217">
        <f t="shared" si="12"/>
        <v>208.43</v>
      </c>
      <c r="AK28" s="217">
        <f t="shared" si="13"/>
        <v>254.34</v>
      </c>
      <c r="AL28" s="217">
        <f t="shared" si="14"/>
        <v>303.43</v>
      </c>
      <c r="AM28" s="217">
        <f t="shared" si="15"/>
        <v>355.28000000000003</v>
      </c>
      <c r="AN28" s="217">
        <f t="shared" si="16"/>
        <v>404.29</v>
      </c>
      <c r="AO28" s="217">
        <f t="shared" si="17"/>
        <v>431.47</v>
      </c>
      <c r="AP28" s="217">
        <f t="shared" si="18"/>
        <v>450.88000000000005</v>
      </c>
      <c r="AQ28" s="217">
        <f t="shared" si="19"/>
        <v>482.64000000000004</v>
      </c>
      <c r="AR28" s="217">
        <f t="shared" si="20"/>
        <v>515.4000000000001</v>
      </c>
      <c r="AS28" s="217">
        <f t="shared" si="21"/>
        <v>555.7200000000001</v>
      </c>
      <c r="AT28" s="217">
        <f t="shared" si="22"/>
        <v>610.8200000000002</v>
      </c>
    </row>
    <row r="29" spans="1:46" ht="15.75">
      <c r="A29" s="149">
        <v>24</v>
      </c>
      <c r="B29" s="115">
        <v>1056</v>
      </c>
      <c r="C29" s="210" t="s">
        <v>51</v>
      </c>
      <c r="E29" s="211">
        <v>37272</v>
      </c>
      <c r="F29" s="211">
        <v>37364</v>
      </c>
      <c r="G29" s="211">
        <v>37453</v>
      </c>
      <c r="H29" s="211">
        <v>37546</v>
      </c>
      <c r="I29" s="211">
        <v>37641</v>
      </c>
      <c r="J29" s="211"/>
      <c r="K29" s="212">
        <v>900.7</v>
      </c>
      <c r="L29" s="212">
        <v>640.2</v>
      </c>
      <c r="M29" s="212">
        <v>140.6</v>
      </c>
      <c r="N29" s="212">
        <v>413.9</v>
      </c>
      <c r="O29" s="212">
        <v>636.2</v>
      </c>
      <c r="P29" s="216">
        <v>281.8</v>
      </c>
      <c r="Q29" s="216">
        <v>414.8</v>
      </c>
      <c r="R29" s="216">
        <v>300.2</v>
      </c>
      <c r="S29" s="216">
        <v>295.5</v>
      </c>
      <c r="T29" s="216">
        <v>715.6</v>
      </c>
      <c r="U29" s="216">
        <v>409.2</v>
      </c>
      <c r="V29" s="216">
        <v>397.4</v>
      </c>
      <c r="W29" s="216">
        <v>554.8</v>
      </c>
      <c r="X29" s="217">
        <v>132.8</v>
      </c>
      <c r="Y29" s="217">
        <v>268.7</v>
      </c>
      <c r="Z29" s="217">
        <v>496.8</v>
      </c>
      <c r="AA29" s="217">
        <v>264.7</v>
      </c>
      <c r="AB29" s="217"/>
      <c r="AC29" s="217"/>
      <c r="AD29" s="217" t="s">
        <v>150</v>
      </c>
      <c r="AE29" s="214">
        <f>K29+L29</f>
        <v>1540.9</v>
      </c>
      <c r="AF29" s="214">
        <f t="shared" si="23"/>
        <v>1681.5</v>
      </c>
      <c r="AG29" s="214">
        <f t="shared" si="23"/>
        <v>2095.4</v>
      </c>
      <c r="AH29" s="217">
        <f t="shared" si="10"/>
        <v>2731.6000000000004</v>
      </c>
      <c r="AI29" s="217">
        <f t="shared" si="11"/>
        <v>3013.4000000000005</v>
      </c>
      <c r="AJ29" s="217">
        <f t="shared" si="12"/>
        <v>3428.2000000000007</v>
      </c>
      <c r="AK29" s="217">
        <f t="shared" si="13"/>
        <v>3728.4000000000005</v>
      </c>
      <c r="AL29" s="217">
        <f t="shared" si="14"/>
        <v>4023.9000000000005</v>
      </c>
      <c r="AM29" s="217">
        <f t="shared" si="15"/>
        <v>4739.500000000001</v>
      </c>
      <c r="AN29" s="217">
        <f t="shared" si="16"/>
        <v>5148.700000000001</v>
      </c>
      <c r="AO29" s="217">
        <f t="shared" si="17"/>
        <v>5546.1</v>
      </c>
      <c r="AP29" s="217">
        <f t="shared" si="18"/>
        <v>6100.900000000001</v>
      </c>
      <c r="AQ29" s="217">
        <f t="shared" si="19"/>
        <v>6233.700000000001</v>
      </c>
      <c r="AR29" s="217">
        <f t="shared" si="20"/>
        <v>6502.400000000001</v>
      </c>
      <c r="AS29" s="217">
        <f t="shared" si="21"/>
        <v>6999.200000000001</v>
      </c>
      <c r="AT29" s="217">
        <f t="shared" si="22"/>
        <v>7263.900000000001</v>
      </c>
    </row>
    <row r="30" spans="1:46" ht="15.75">
      <c r="A30" s="149">
        <v>25</v>
      </c>
      <c r="B30" s="115">
        <v>1054</v>
      </c>
      <c r="C30" s="210" t="s">
        <v>59</v>
      </c>
      <c r="E30" s="211">
        <v>37270</v>
      </c>
      <c r="F30" s="211">
        <v>37363</v>
      </c>
      <c r="G30" s="211">
        <v>37460</v>
      </c>
      <c r="H30" s="211">
        <v>37544</v>
      </c>
      <c r="I30" s="211">
        <v>37631</v>
      </c>
      <c r="J30" s="211"/>
      <c r="K30" s="212">
        <v>116.32</v>
      </c>
      <c r="L30" s="212">
        <v>128.79</v>
      </c>
      <c r="M30" s="212">
        <v>130.64</v>
      </c>
      <c r="N30" s="212">
        <v>96.7</v>
      </c>
      <c r="O30" s="212">
        <v>114.71</v>
      </c>
      <c r="P30" s="216">
        <v>112.35</v>
      </c>
      <c r="Q30" s="216">
        <v>96.22</v>
      </c>
      <c r="R30" s="216">
        <v>97.77</v>
      </c>
      <c r="S30" s="216">
        <v>97.65</v>
      </c>
      <c r="T30" s="216">
        <v>95.61</v>
      </c>
      <c r="U30" s="216">
        <v>98.63</v>
      </c>
      <c r="V30" s="216">
        <v>82.67</v>
      </c>
      <c r="W30" s="216">
        <v>99.27</v>
      </c>
      <c r="X30" s="217">
        <v>81.63</v>
      </c>
      <c r="Y30" s="217">
        <v>79.47</v>
      </c>
      <c r="Z30" s="217">
        <v>146.26</v>
      </c>
      <c r="AA30" s="217">
        <v>129.6</v>
      </c>
      <c r="AB30" s="217"/>
      <c r="AC30" s="217"/>
      <c r="AD30" s="217" t="s">
        <v>150</v>
      </c>
      <c r="AE30" s="214">
        <f>K30+L30</f>
        <v>245.10999999999999</v>
      </c>
      <c r="AF30" s="214">
        <f t="shared" si="23"/>
        <v>375.75</v>
      </c>
      <c r="AG30" s="214">
        <f t="shared" si="23"/>
        <v>472.45</v>
      </c>
      <c r="AH30" s="217">
        <f t="shared" si="10"/>
        <v>587.16</v>
      </c>
      <c r="AI30" s="217">
        <f t="shared" si="11"/>
        <v>699.51</v>
      </c>
      <c r="AJ30" s="217">
        <f t="shared" si="12"/>
        <v>795.73</v>
      </c>
      <c r="AK30" s="217">
        <f t="shared" si="13"/>
        <v>893.5</v>
      </c>
      <c r="AL30" s="217">
        <f t="shared" si="14"/>
        <v>991.15</v>
      </c>
      <c r="AM30" s="217">
        <f t="shared" si="15"/>
        <v>1086.76</v>
      </c>
      <c r="AN30" s="217">
        <f t="shared" si="16"/>
        <v>1185.3899999999999</v>
      </c>
      <c r="AO30" s="217">
        <f t="shared" si="17"/>
        <v>1268.06</v>
      </c>
      <c r="AP30" s="217">
        <f t="shared" si="18"/>
        <v>1367.33</v>
      </c>
      <c r="AQ30" s="217">
        <f t="shared" si="19"/>
        <v>1448.96</v>
      </c>
      <c r="AR30" s="217">
        <f t="shared" si="20"/>
        <v>1528.43</v>
      </c>
      <c r="AS30" s="217">
        <f t="shared" si="21"/>
        <v>1674.69</v>
      </c>
      <c r="AT30" s="217">
        <f t="shared" si="22"/>
        <v>1804.29</v>
      </c>
    </row>
    <row r="31" spans="1:46" ht="15.75">
      <c r="A31" s="149">
        <v>26</v>
      </c>
      <c r="B31" s="115">
        <v>1081</v>
      </c>
      <c r="C31" s="210" t="s">
        <v>85</v>
      </c>
      <c r="E31" s="211">
        <v>37274</v>
      </c>
      <c r="F31" s="211">
        <v>37362</v>
      </c>
      <c r="G31" s="211">
        <v>37453</v>
      </c>
      <c r="H31" s="211">
        <v>37547</v>
      </c>
      <c r="I31" s="211">
        <v>37641</v>
      </c>
      <c r="J31" s="211"/>
      <c r="K31" s="212">
        <v>151.1</v>
      </c>
      <c r="L31" s="212">
        <v>184.29</v>
      </c>
      <c r="M31" s="212">
        <v>151.05</v>
      </c>
      <c r="N31" s="212">
        <v>103.03</v>
      </c>
      <c r="O31" s="212">
        <v>94.45</v>
      </c>
      <c r="P31" s="216">
        <v>81.47</v>
      </c>
      <c r="Q31" s="216">
        <v>10.07</v>
      </c>
      <c r="R31" s="216">
        <v>85.79</v>
      </c>
      <c r="S31" s="216">
        <v>100.48</v>
      </c>
      <c r="T31" s="216">
        <v>69.51</v>
      </c>
      <c r="U31" s="216">
        <v>77.74</v>
      </c>
      <c r="V31" s="216">
        <v>72.22</v>
      </c>
      <c r="W31" s="216">
        <v>49.21</v>
      </c>
      <c r="X31" s="217">
        <v>58.27</v>
      </c>
      <c r="Y31" s="217">
        <v>46.05</v>
      </c>
      <c r="Z31" s="217">
        <v>64.73</v>
      </c>
      <c r="AA31" s="217">
        <v>65.99</v>
      </c>
      <c r="AB31" s="217"/>
      <c r="AC31" s="217"/>
      <c r="AD31" s="217" t="s">
        <v>150</v>
      </c>
      <c r="AE31" s="214">
        <f>K31+L31</f>
        <v>335.39</v>
      </c>
      <c r="AF31" s="214">
        <f t="shared" si="23"/>
        <v>486.44</v>
      </c>
      <c r="AG31" s="214">
        <f t="shared" si="23"/>
        <v>589.47</v>
      </c>
      <c r="AH31" s="217">
        <f t="shared" si="10"/>
        <v>683.9200000000001</v>
      </c>
      <c r="AI31" s="217">
        <f t="shared" si="11"/>
        <v>765.3900000000001</v>
      </c>
      <c r="AJ31" s="217">
        <f t="shared" si="12"/>
        <v>775.4600000000002</v>
      </c>
      <c r="AK31" s="217">
        <f t="shared" si="13"/>
        <v>861.2500000000001</v>
      </c>
      <c r="AL31" s="217">
        <f t="shared" si="14"/>
        <v>961.7300000000001</v>
      </c>
      <c r="AM31" s="217">
        <f t="shared" si="15"/>
        <v>1031.2400000000002</v>
      </c>
      <c r="AN31" s="217">
        <f t="shared" si="16"/>
        <v>1108.9800000000002</v>
      </c>
      <c r="AO31" s="217">
        <f t="shared" si="17"/>
        <v>1181.2000000000003</v>
      </c>
      <c r="AP31" s="217">
        <f t="shared" si="18"/>
        <v>1230.4100000000003</v>
      </c>
      <c r="AQ31" s="217">
        <f t="shared" si="19"/>
        <v>1288.6800000000003</v>
      </c>
      <c r="AR31" s="217">
        <f t="shared" si="20"/>
        <v>1334.7300000000002</v>
      </c>
      <c r="AS31" s="217">
        <f t="shared" si="21"/>
        <v>1399.4600000000003</v>
      </c>
      <c r="AT31" s="217">
        <f t="shared" si="22"/>
        <v>1465.4500000000003</v>
      </c>
    </row>
    <row r="32" spans="1:46" ht="15.75">
      <c r="A32" s="149">
        <v>27</v>
      </c>
      <c r="B32" s="115">
        <v>1034</v>
      </c>
      <c r="C32" s="210" t="s">
        <v>246</v>
      </c>
      <c r="E32" s="211">
        <v>37273</v>
      </c>
      <c r="F32" s="211">
        <v>37357</v>
      </c>
      <c r="G32" s="211">
        <v>37452</v>
      </c>
      <c r="H32" s="211">
        <v>37541</v>
      </c>
      <c r="I32" s="211">
        <v>37636</v>
      </c>
      <c r="J32" s="211"/>
      <c r="K32" s="212">
        <v>336.5472</v>
      </c>
      <c r="L32" s="212">
        <v>378.4767</v>
      </c>
      <c r="M32" s="212">
        <v>364.13</v>
      </c>
      <c r="N32" s="212">
        <v>333.065</v>
      </c>
      <c r="O32" s="212">
        <v>325.8493</v>
      </c>
      <c r="P32" s="216">
        <v>245.0556</v>
      </c>
      <c r="Q32" s="216">
        <v>264.0846</v>
      </c>
      <c r="R32" s="216">
        <v>190.516</v>
      </c>
      <c r="S32" s="216">
        <v>254.4094</v>
      </c>
      <c r="T32" s="216">
        <v>229.2458</v>
      </c>
      <c r="U32" s="216">
        <v>195.204</v>
      </c>
      <c r="V32" s="216">
        <v>134.978</v>
      </c>
      <c r="W32" s="216">
        <v>204.1998</v>
      </c>
      <c r="X32" s="217">
        <v>226.5184</v>
      </c>
      <c r="Y32" s="217">
        <v>196.8974</v>
      </c>
      <c r="Z32" s="217">
        <v>168.1</v>
      </c>
      <c r="AA32" s="217">
        <v>157.9686</v>
      </c>
      <c r="AB32" s="217"/>
      <c r="AC32" s="217"/>
      <c r="AD32" s="217" t="s">
        <v>150</v>
      </c>
      <c r="AE32" s="214">
        <f>K32+L32</f>
        <v>715.0238999999999</v>
      </c>
      <c r="AF32" s="214">
        <f t="shared" si="23"/>
        <v>1079.1538999999998</v>
      </c>
      <c r="AG32" s="214">
        <f t="shared" si="23"/>
        <v>1412.2188999999998</v>
      </c>
      <c r="AH32" s="217">
        <f t="shared" si="10"/>
        <v>1738.0682</v>
      </c>
      <c r="AI32" s="217">
        <f t="shared" si="11"/>
        <v>1983.1237999999998</v>
      </c>
      <c r="AJ32" s="217">
        <f t="shared" si="12"/>
        <v>2247.2084</v>
      </c>
      <c r="AK32" s="217">
        <f t="shared" si="13"/>
        <v>2437.7244</v>
      </c>
      <c r="AL32" s="217">
        <f t="shared" si="14"/>
        <v>2692.1338</v>
      </c>
      <c r="AM32" s="217">
        <f t="shared" si="15"/>
        <v>2921.3796</v>
      </c>
      <c r="AN32" s="217">
        <f t="shared" si="16"/>
        <v>3116.5836000000004</v>
      </c>
      <c r="AO32" s="217">
        <f t="shared" si="17"/>
        <v>3251.5616000000005</v>
      </c>
      <c r="AP32" s="217">
        <f t="shared" si="18"/>
        <v>3455.7614000000003</v>
      </c>
      <c r="AQ32" s="217">
        <f t="shared" si="19"/>
        <v>3682.2798000000003</v>
      </c>
      <c r="AR32" s="217">
        <f t="shared" si="20"/>
        <v>3879.1772</v>
      </c>
      <c r="AS32" s="217">
        <f t="shared" si="21"/>
        <v>4047.2772</v>
      </c>
      <c r="AT32" s="217">
        <f t="shared" si="22"/>
        <v>4205.2458</v>
      </c>
    </row>
    <row r="33" spans="1:52" s="241" customFormat="1" ht="29.25" customHeight="1">
      <c r="A33" s="240">
        <v>28</v>
      </c>
      <c r="B33" s="115">
        <v>1219</v>
      </c>
      <c r="C33" s="210" t="s">
        <v>280</v>
      </c>
      <c r="D33" s="241">
        <v>38.6</v>
      </c>
      <c r="E33" s="242" t="s">
        <v>150</v>
      </c>
      <c r="F33" s="242">
        <v>37365</v>
      </c>
      <c r="G33" s="242">
        <v>37459</v>
      </c>
      <c r="H33" s="242">
        <v>37546</v>
      </c>
      <c r="I33" s="242">
        <v>37630</v>
      </c>
      <c r="J33" s="242"/>
      <c r="K33" s="243" t="s">
        <v>150</v>
      </c>
      <c r="L33" s="243">
        <v>109.6</v>
      </c>
      <c r="M33" s="243">
        <v>96.8</v>
      </c>
      <c r="N33" s="243">
        <v>88</v>
      </c>
      <c r="O33" s="243">
        <v>113.1</v>
      </c>
      <c r="P33" s="244">
        <v>109.5</v>
      </c>
      <c r="Q33" s="244">
        <v>114.9</v>
      </c>
      <c r="R33" s="244">
        <v>66.8</v>
      </c>
      <c r="S33" s="244">
        <v>43.5</v>
      </c>
      <c r="T33" s="244">
        <v>35.8</v>
      </c>
      <c r="U33" s="244">
        <v>105.4</v>
      </c>
      <c r="V33" s="244">
        <v>97.18</v>
      </c>
      <c r="W33" s="245">
        <v>0</v>
      </c>
      <c r="X33" s="246">
        <v>0</v>
      </c>
      <c r="Y33" s="246">
        <v>0</v>
      </c>
      <c r="Z33" s="246">
        <v>0</v>
      </c>
      <c r="AA33" s="246">
        <v>0</v>
      </c>
      <c r="AB33" s="247"/>
      <c r="AC33" s="247"/>
      <c r="AD33" s="247" t="s">
        <v>150</v>
      </c>
      <c r="AE33" s="248">
        <f>L33</f>
        <v>109.6</v>
      </c>
      <c r="AF33" s="248">
        <f t="shared" si="23"/>
        <v>206.39999999999998</v>
      </c>
      <c r="AG33" s="248">
        <f t="shared" si="23"/>
        <v>294.4</v>
      </c>
      <c r="AH33" s="247">
        <f t="shared" si="10"/>
        <v>407.5</v>
      </c>
      <c r="AI33" s="247">
        <f t="shared" si="11"/>
        <v>517</v>
      </c>
      <c r="AJ33" s="247">
        <f t="shared" si="12"/>
        <v>631.9</v>
      </c>
      <c r="AK33" s="247">
        <f t="shared" si="13"/>
        <v>698.6999999999999</v>
      </c>
      <c r="AL33" s="247">
        <f t="shared" si="14"/>
        <v>742.1999999999999</v>
      </c>
      <c r="AM33" s="247">
        <f t="shared" si="15"/>
        <v>777.9999999999999</v>
      </c>
      <c r="AN33" s="247">
        <f t="shared" si="16"/>
        <v>883.3999999999999</v>
      </c>
      <c r="AO33" s="247">
        <f t="shared" si="17"/>
        <v>980.5799999999999</v>
      </c>
      <c r="AP33" s="247">
        <f t="shared" si="18"/>
        <v>980.5799999999999</v>
      </c>
      <c r="AQ33" s="247">
        <f t="shared" si="19"/>
        <v>980.5799999999999</v>
      </c>
      <c r="AR33" s="247">
        <f t="shared" si="20"/>
        <v>980.5799999999999</v>
      </c>
      <c r="AS33" s="247">
        <f t="shared" si="21"/>
        <v>980.5799999999999</v>
      </c>
      <c r="AT33" s="247">
        <f t="shared" si="22"/>
        <v>980.5799999999999</v>
      </c>
      <c r="AU33" s="249" t="s">
        <v>228</v>
      </c>
      <c r="AV33" s="250"/>
      <c r="AW33" s="251"/>
      <c r="AX33" s="251"/>
      <c r="AY33" s="252"/>
      <c r="AZ33" s="252"/>
    </row>
    <row r="34" spans="3:46" ht="15.75">
      <c r="C34" s="253" t="s">
        <v>62</v>
      </c>
      <c r="K34" s="254">
        <f aca="true" t="shared" si="24" ref="K34:S34">SUM(K6:K33)</f>
        <v>4035.3372</v>
      </c>
      <c r="L34" s="254">
        <f t="shared" si="24"/>
        <v>3714.4666999999995</v>
      </c>
      <c r="M34" s="254">
        <f t="shared" si="24"/>
        <v>3089.8500000000004</v>
      </c>
      <c r="N34" s="255">
        <f t="shared" si="24"/>
        <v>3211.5550000000003</v>
      </c>
      <c r="O34" s="255">
        <f t="shared" si="24"/>
        <v>4322.1093</v>
      </c>
      <c r="P34" s="255">
        <f t="shared" si="24"/>
        <v>4029.4855999999995</v>
      </c>
      <c r="Q34" s="255">
        <f t="shared" si="24"/>
        <v>3182.304600000001</v>
      </c>
      <c r="R34" s="255">
        <f t="shared" si="24"/>
        <v>3635.676</v>
      </c>
      <c r="S34" s="255">
        <f t="shared" si="24"/>
        <v>3412.8594000000003</v>
      </c>
      <c r="T34" s="256">
        <f aca="true" t="shared" si="25" ref="T34:AA34">SUM(T6:T33)</f>
        <v>4089.7658000000006</v>
      </c>
      <c r="U34" s="256">
        <f t="shared" si="25"/>
        <v>3574.394</v>
      </c>
      <c r="V34" s="256">
        <f t="shared" si="25"/>
        <v>3422.628</v>
      </c>
      <c r="W34" s="256">
        <f t="shared" si="25"/>
        <v>3925.4197999999997</v>
      </c>
      <c r="X34" s="257">
        <f t="shared" si="25"/>
        <v>3026.058400000001</v>
      </c>
      <c r="Y34" s="257">
        <f t="shared" si="25"/>
        <v>2491.8093999999996</v>
      </c>
      <c r="Z34" s="257">
        <f t="shared" si="25"/>
        <v>3306.7200000000003</v>
      </c>
      <c r="AA34" s="257">
        <f t="shared" si="25"/>
        <v>2949.8285999999994</v>
      </c>
      <c r="AB34" s="257"/>
      <c r="AC34" s="258"/>
      <c r="AD34" s="258"/>
      <c r="AE34" s="257">
        <f>SUM(AE6:AE33)</f>
        <v>7749.803900000001</v>
      </c>
      <c r="AF34" s="257">
        <f>SUM(AF6:AF33)</f>
        <v>10839.6539</v>
      </c>
      <c r="AG34" s="258">
        <f>SUM(AG6:AG33)</f>
        <v>14051.2089</v>
      </c>
      <c r="AH34" s="258">
        <f>SUM(AH6:AH33)</f>
        <v>18373.3182</v>
      </c>
      <c r="AI34" s="259">
        <f>AH34+P34</f>
        <v>22402.8038</v>
      </c>
      <c r="AJ34" s="259">
        <f aca="true" t="shared" si="26" ref="AJ34:AP34">SUM(AJ6:AJ33)</f>
        <v>25585.108400000005</v>
      </c>
      <c r="AK34" s="259">
        <f t="shared" si="26"/>
        <v>29220.784399999997</v>
      </c>
      <c r="AL34" s="259">
        <f t="shared" si="26"/>
        <v>32633.6438</v>
      </c>
      <c r="AM34" s="259">
        <f t="shared" si="26"/>
        <v>36723.4096</v>
      </c>
      <c r="AN34" s="259">
        <f t="shared" si="26"/>
        <v>40297.8036</v>
      </c>
      <c r="AO34" s="259">
        <f t="shared" si="26"/>
        <v>43720.4316</v>
      </c>
      <c r="AP34" s="259">
        <f t="shared" si="26"/>
        <v>47645.851400000014</v>
      </c>
      <c r="AQ34" s="259">
        <f>SUM(AQ6:AQ33)</f>
        <v>50671.90980000001</v>
      </c>
      <c r="AR34" s="259">
        <f>SUM(AR6:AR33)</f>
        <v>53163.71920000001</v>
      </c>
      <c r="AS34" s="259">
        <f>SUM(AS6:AS33)</f>
        <v>56470.4392</v>
      </c>
      <c r="AT34" s="259">
        <f>SUM(AT6:AT33)</f>
        <v>59420.2678</v>
      </c>
    </row>
    <row r="35" spans="1:46" ht="18">
      <c r="A35" s="260" t="s">
        <v>290</v>
      </c>
      <c r="AI35" s="261"/>
      <c r="AJ35" s="262"/>
      <c r="AK35" s="262"/>
      <c r="AL35" s="262"/>
      <c r="AM35" s="262"/>
      <c r="AN35" s="262"/>
      <c r="AO35" s="262"/>
      <c r="AP35" s="262"/>
      <c r="AQ35" s="262"/>
      <c r="AR35" s="262"/>
      <c r="AS35" s="262"/>
      <c r="AT35" s="262"/>
    </row>
    <row r="36" spans="1:46" s="269" customFormat="1" ht="18">
      <c r="A36" s="263" t="s">
        <v>291</v>
      </c>
      <c r="B36" s="264"/>
      <c r="C36" s="264"/>
      <c r="D36" s="264"/>
      <c r="E36" s="264"/>
      <c r="F36" s="265"/>
      <c r="G36" s="265"/>
      <c r="H36" s="265"/>
      <c r="I36" s="265"/>
      <c r="J36" s="265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6"/>
      <c r="Y36" s="266"/>
      <c r="Z36" s="266"/>
      <c r="AA36" s="266"/>
      <c r="AB36" s="266"/>
      <c r="AC36" s="267"/>
      <c r="AD36" s="267"/>
      <c r="AE36" s="266"/>
      <c r="AF36" s="266"/>
      <c r="AG36" s="267"/>
      <c r="AH36" s="267"/>
      <c r="AI36" s="268"/>
      <c r="AJ36" s="268"/>
      <c r="AK36" s="268"/>
      <c r="AL36" s="268"/>
      <c r="AM36" s="268"/>
      <c r="AN36" s="268"/>
      <c r="AO36" s="113"/>
      <c r="AP36" s="113"/>
      <c r="AQ36" s="268"/>
      <c r="AR36" s="268"/>
      <c r="AS36" s="113"/>
      <c r="AT36" s="113"/>
    </row>
  </sheetData>
  <mergeCells count="4">
    <mergeCell ref="D22:I22"/>
    <mergeCell ref="AD22:AH22"/>
    <mergeCell ref="E6:I6"/>
    <mergeCell ref="E20:I20"/>
  </mergeCells>
  <printOptions gridLines="1" horizontalCentered="1"/>
  <pageMargins left="0" right="0" top="1" bottom="0.25" header="0.5" footer="0.28"/>
  <pageSetup firstPageNumber="17" useFirstPageNumber="1" horizontalDpi="600" verticalDpi="600" orientation="landscape" scale="65" r:id="rId1"/>
  <headerFooter alignWithMargins="0">
    <oddFooter>&amp;R&amp;"Arial Narrow,Bold"&amp;14EUB ST101-2006: Sulphur Recovery and Sulphur Emissions at Alberta Sour Gas Plants (August 2006)    •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ST101-2006: Appendices 2-5</dc:title>
  <dc:subject/>
  <dc:creator>EUB</dc:creator>
  <cp:keywords>st101 2006</cp:keywords>
  <dc:description/>
  <cp:lastModifiedBy>EUB</cp:lastModifiedBy>
  <cp:lastPrinted>2006-07-31T20:25:26Z</cp:lastPrinted>
  <dcterms:created xsi:type="dcterms:W3CDTF">2003-07-07T21:06:43Z</dcterms:created>
  <dcterms:modified xsi:type="dcterms:W3CDTF">2006-10-10T16:49:07Z</dcterms:modified>
  <cp:category>Statistical Series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2082090253</vt:i4>
  </property>
  <property fmtid="{D5CDD505-2E9C-101B-9397-08002B2CF9AE}" pid="4" name="_NewReviewCycle">
    <vt:lpwstr/>
  </property>
  <property fmtid="{D5CDD505-2E9C-101B-9397-08002B2CF9AE}" pid="5" name="_EmailSubject">
    <vt:lpwstr>ST101 - Draft - Can you edit for me?</vt:lpwstr>
  </property>
  <property fmtid="{D5CDD505-2E9C-101B-9397-08002B2CF9AE}" pid="6" name="_AuthorEmail">
    <vt:lpwstr>jim.spangelo@gov.ab.ca</vt:lpwstr>
  </property>
  <property fmtid="{D5CDD505-2E9C-101B-9397-08002B2CF9AE}" pid="7" name="_AuthorEmailDisplayName">
    <vt:lpwstr>Jim Spangelo</vt:lpwstr>
  </property>
  <property fmtid="{D5CDD505-2E9C-101B-9397-08002B2CF9AE}" pid="8" name="_PreviousAdHocReviewCycleID">
    <vt:i4>175146127</vt:i4>
  </property>
  <property fmtid="{D5CDD505-2E9C-101B-9397-08002B2CF9AE}" pid="9" name="_ReviewingToolsShownOnce">
    <vt:lpwstr/>
  </property>
</Properties>
</file>